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4E68BAE4-DA1E-4C57-9C8D-0FD9ACD8F72F}" xr6:coauthVersionLast="47" xr6:coauthVersionMax="47" xr10:uidLastSave="{00000000-0000-0000-0000-000000000000}"/>
  <bookViews>
    <workbookView xWindow="-110" yWindow="-110" windowWidth="38620" windowHeight="21100" tabRatio="889" xr2:uid="{00000000-000D-0000-FFFF-FFFF00000000}"/>
  </bookViews>
  <sheets>
    <sheet name="AI_Models" sheetId="7" r:id="rId1"/>
    <sheet name="KeyChips" sheetId="5" r:id="rId2"/>
    <sheet name="AI_Supercomputers" sheetId="6" r:id="rId3"/>
    <sheet name="FutureAISupercomputers" sheetId="8" r:id="rId4"/>
    <sheet name="GlobalChipProd_TFLOPS_GB_RAM" sheetId="10" r:id="rId5"/>
    <sheet name="GlobalChipProd_ElecUse" sheetId="11" r:id="rId6"/>
    <sheet name="Calc_Moores_Law" sheetId="2" r:id="rId7"/>
    <sheet name="Calc_nm_Law" sheetId="3" r:id="rId8"/>
    <sheet name="AI_MegaTrends" sheetId="15" r:id="rId9"/>
    <sheet name="LevelsOfAI" sheetId="14" r:id="rId10"/>
    <sheet name="1_LifeEvolution" sheetId="17" r:id="rId11"/>
    <sheet name="2_AI_Opinions" sheetId="13" r:id="rId12"/>
    <sheet name="3_LifeComparison" sheetId="16" r:id="rId13"/>
    <sheet name="4_ImpactOnSociety" sheetId="19"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 i="5" l="1"/>
  <c r="R34" i="6" s="1"/>
  <c r="R32" i="6"/>
  <c r="L42" i="6"/>
  <c r="L34" i="6"/>
  <c r="L33" i="6"/>
  <c r="L32" i="6"/>
  <c r="M34" i="6"/>
  <c r="M33" i="6"/>
  <c r="M32" i="6"/>
  <c r="K33" i="6"/>
  <c r="K34" i="6"/>
  <c r="K32" i="6"/>
  <c r="J33" i="6"/>
  <c r="J34" i="6"/>
  <c r="J32" i="6"/>
  <c r="H34" i="6"/>
  <c r="H33" i="6"/>
  <c r="N34" i="6"/>
  <c r="N33" i="6"/>
  <c r="AA146" i="5"/>
  <c r="AA147" i="5" s="1"/>
  <c r="N37" i="5"/>
  <c r="W89" i="6"/>
  <c r="W90" i="6"/>
  <c r="W91" i="6" s="1"/>
  <c r="B89" i="6"/>
  <c r="B90" i="6"/>
  <c r="C89" i="6"/>
  <c r="I37" i="5"/>
  <c r="AA37" i="5"/>
  <c r="AA38" i="5"/>
  <c r="C88" i="6"/>
  <c r="B146" i="5"/>
  <c r="B147" i="5"/>
  <c r="C146" i="5"/>
  <c r="L102" i="16"/>
  <c r="L103" i="16" s="1"/>
  <c r="B102" i="16"/>
  <c r="A102" i="16"/>
  <c r="A103" i="16"/>
  <c r="A104" i="16"/>
  <c r="L37" i="16"/>
  <c r="L38" i="16"/>
  <c r="A37" i="16"/>
  <c r="A38" i="16" s="1"/>
  <c r="B99" i="16"/>
  <c r="B100" i="16"/>
  <c r="B101" i="16"/>
  <c r="B103" i="16"/>
  <c r="Z37" i="5" l="1"/>
  <c r="R33" i="6"/>
  <c r="J75" i="19"/>
  <c r="J76" i="19"/>
  <c r="J77" i="19" s="1"/>
  <c r="J78" i="19" s="1"/>
  <c r="J79" i="19" s="1"/>
  <c r="J80" i="19" s="1"/>
  <c r="J81" i="19" s="1"/>
  <c r="J82" i="19" s="1"/>
  <c r="J83" i="19" s="1"/>
  <c r="J84" i="19" s="1"/>
  <c r="J85" i="19" s="1"/>
  <c r="J86" i="19" s="1"/>
  <c r="J87" i="19" s="1"/>
  <c r="J88" i="19" s="1"/>
  <c r="J89" i="19" s="1"/>
  <c r="J90" i="19" s="1"/>
  <c r="J91" i="19" s="1"/>
  <c r="J92" i="19" s="1"/>
  <c r="J93" i="19" s="1"/>
  <c r="J94" i="19" s="1"/>
  <c r="J95" i="19" s="1"/>
  <c r="J96" i="19" s="1"/>
  <c r="J97" i="19" s="1"/>
  <c r="J98" i="19" s="1"/>
  <c r="J99" i="19" s="1"/>
  <c r="J100" i="19" s="1"/>
  <c r="J101" i="19" s="1"/>
  <c r="J102" i="19" s="1"/>
  <c r="J103" i="19" s="1"/>
  <c r="J104" i="19" s="1"/>
  <c r="J105" i="19" s="1"/>
  <c r="J106" i="19" s="1"/>
  <c r="J107" i="19" s="1"/>
  <c r="J108" i="19" s="1"/>
  <c r="J109" i="19" s="1"/>
  <c r="J110" i="19" s="1"/>
  <c r="J111" i="19" s="1"/>
  <c r="J112" i="19" s="1"/>
  <c r="J113" i="19" s="1"/>
  <c r="J114" i="19" s="1"/>
  <c r="J115" i="19" s="1"/>
  <c r="J116" i="19" s="1"/>
  <c r="J117" i="19" s="1"/>
  <c r="J118" i="19" s="1"/>
  <c r="J14" i="19"/>
  <c r="J15" i="19"/>
  <c r="J16" i="19"/>
  <c r="J17" i="19"/>
  <c r="J18" i="19"/>
  <c r="J19" i="19" s="1"/>
  <c r="J20" i="19" s="1"/>
  <c r="J21" i="19" s="1"/>
  <c r="J22" i="19" s="1"/>
  <c r="J23" i="19" s="1"/>
  <c r="J24" i="19" s="1"/>
  <c r="J25" i="19" s="1"/>
  <c r="J26" i="19" s="1"/>
  <c r="J27" i="19" s="1"/>
  <c r="J28" i="19" s="1"/>
  <c r="J29" i="19" s="1"/>
  <c r="J30" i="19" s="1"/>
  <c r="J31" i="19" s="1"/>
  <c r="J32" i="19" s="1"/>
  <c r="J33" i="19" s="1"/>
  <c r="J34" i="19" s="1"/>
  <c r="J35" i="19" s="1"/>
  <c r="J36" i="19" s="1"/>
  <c r="J37" i="19" s="1"/>
  <c r="J38" i="19" s="1"/>
  <c r="J39" i="19" s="1"/>
  <c r="J40" i="19" s="1"/>
  <c r="J41" i="19" s="1"/>
  <c r="J42" i="19" s="1"/>
  <c r="J43" i="19" s="1"/>
  <c r="J44" i="19" s="1"/>
  <c r="J45" i="19" s="1"/>
  <c r="J46" i="19" s="1"/>
  <c r="J47" i="19" s="1"/>
  <c r="J48" i="19" s="1"/>
  <c r="J49" i="19" s="1"/>
  <c r="J50" i="19" s="1"/>
  <c r="J51" i="19" s="1"/>
  <c r="J52" i="19" s="1"/>
  <c r="J53" i="19" s="1"/>
  <c r="J54" i="19" s="1"/>
  <c r="J55" i="19" s="1"/>
  <c r="J56" i="19" s="1"/>
  <c r="J57" i="19" s="1"/>
  <c r="B117" i="19"/>
  <c r="B116" i="19"/>
  <c r="B115" i="19"/>
  <c r="B114" i="19"/>
  <c r="B113" i="19"/>
  <c r="B112" i="19"/>
  <c r="B111" i="19"/>
  <c r="B110" i="19"/>
  <c r="B109" i="19"/>
  <c r="B108" i="19"/>
  <c r="B106" i="19"/>
  <c r="B105" i="19"/>
  <c r="B104" i="19"/>
  <c r="B103" i="19"/>
  <c r="B102" i="19"/>
  <c r="B100" i="19"/>
  <c r="B99" i="19"/>
  <c r="B98" i="19"/>
  <c r="B97" i="19"/>
  <c r="B96" i="19"/>
  <c r="B95" i="19"/>
  <c r="B94" i="19"/>
  <c r="B93" i="19"/>
  <c r="B92" i="19"/>
  <c r="B91" i="19"/>
  <c r="B90" i="19"/>
  <c r="B88" i="19"/>
  <c r="B87" i="19"/>
  <c r="B86" i="19"/>
  <c r="B85" i="19"/>
  <c r="B84" i="19"/>
  <c r="B83" i="19"/>
  <c r="B82" i="19"/>
  <c r="B81" i="19"/>
  <c r="B80" i="19"/>
  <c r="B79" i="19"/>
  <c r="B78" i="19"/>
  <c r="B77" i="19"/>
  <c r="B76" i="19"/>
  <c r="B75" i="19"/>
  <c r="B74" i="19"/>
  <c r="B73" i="19"/>
  <c r="B72" i="19"/>
  <c r="B71" i="19"/>
  <c r="B70" i="19"/>
  <c r="I69" i="19"/>
  <c r="H69" i="19"/>
  <c r="G69" i="19"/>
  <c r="F69" i="19"/>
  <c r="E69" i="19"/>
  <c r="D69" i="19"/>
  <c r="C69" i="19"/>
  <c r="B69" i="19"/>
  <c r="J68" i="19"/>
  <c r="J69" i="19" s="1"/>
  <c r="J70" i="19" s="1"/>
  <c r="J71" i="19" s="1"/>
  <c r="J72" i="19" s="1"/>
  <c r="J73" i="19" s="1"/>
  <c r="J74" i="19" s="1"/>
  <c r="I68" i="19"/>
  <c r="H68" i="19"/>
  <c r="G68" i="19"/>
  <c r="F68" i="19"/>
  <c r="E68" i="19"/>
  <c r="D68" i="19"/>
  <c r="C68" i="19"/>
  <c r="B68" i="19"/>
  <c r="A68" i="19"/>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I67" i="19"/>
  <c r="H67" i="19"/>
  <c r="G67" i="19"/>
  <c r="F67" i="19"/>
  <c r="E67" i="19"/>
  <c r="D67" i="19"/>
  <c r="C67" i="19"/>
  <c r="B67" i="19"/>
  <c r="C62" i="19"/>
  <c r="C61" i="19"/>
  <c r="C65" i="19" s="1"/>
  <c r="G26" i="19" s="1"/>
  <c r="D55" i="19"/>
  <c r="C55" i="19"/>
  <c r="G53" i="19"/>
  <c r="F53" i="19"/>
  <c r="E53" i="19"/>
  <c r="D53" i="19"/>
  <c r="C53" i="19"/>
  <c r="G52" i="19"/>
  <c r="F52" i="19"/>
  <c r="E52" i="19"/>
  <c r="D52" i="19"/>
  <c r="C52" i="19"/>
  <c r="G51" i="19"/>
  <c r="F51" i="19"/>
  <c r="E51" i="19"/>
  <c r="D51" i="19"/>
  <c r="C51" i="19"/>
  <c r="G50" i="19"/>
  <c r="F50" i="19"/>
  <c r="E50" i="19"/>
  <c r="D50" i="19"/>
  <c r="C50" i="19"/>
  <c r="G49" i="19"/>
  <c r="F49" i="19"/>
  <c r="E49" i="19"/>
  <c r="D49" i="19"/>
  <c r="C49" i="19"/>
  <c r="G48" i="19"/>
  <c r="F48" i="19"/>
  <c r="E48" i="19"/>
  <c r="D48" i="19"/>
  <c r="C48" i="19"/>
  <c r="D45" i="19"/>
  <c r="C45" i="19"/>
  <c r="D43" i="19"/>
  <c r="C43" i="19"/>
  <c r="G42" i="19"/>
  <c r="F42" i="19"/>
  <c r="E42" i="19"/>
  <c r="G38" i="19"/>
  <c r="F38" i="19"/>
  <c r="E38" i="19"/>
  <c r="D38" i="19"/>
  <c r="C38" i="19"/>
  <c r="G37" i="19"/>
  <c r="F37" i="19"/>
  <c r="E37" i="19"/>
  <c r="D37" i="19"/>
  <c r="C37" i="19"/>
  <c r="G36" i="19"/>
  <c r="F36" i="19"/>
  <c r="E36" i="19"/>
  <c r="D36" i="19"/>
  <c r="C36" i="19"/>
  <c r="G35" i="19"/>
  <c r="F35" i="19"/>
  <c r="E35" i="19"/>
  <c r="D35" i="19"/>
  <c r="C35" i="19"/>
  <c r="G34" i="19"/>
  <c r="F34" i="19"/>
  <c r="E34" i="19"/>
  <c r="D34" i="19"/>
  <c r="C34" i="19"/>
  <c r="G33" i="19"/>
  <c r="F33" i="19"/>
  <c r="E33" i="19"/>
  <c r="D33" i="19"/>
  <c r="C33" i="19"/>
  <c r="G32" i="19"/>
  <c r="F32" i="19"/>
  <c r="E32" i="19"/>
  <c r="D32" i="19"/>
  <c r="C32" i="19"/>
  <c r="G31" i="19"/>
  <c r="G30" i="19" s="1"/>
  <c r="F31" i="19"/>
  <c r="F30" i="19" s="1"/>
  <c r="E31" i="19"/>
  <c r="E30" i="19" s="1"/>
  <c r="D31" i="19"/>
  <c r="D30" i="19" s="1"/>
  <c r="C31" i="19"/>
  <c r="C30" i="19"/>
  <c r="G27" i="19"/>
  <c r="F27" i="19"/>
  <c r="E27" i="19"/>
  <c r="D27" i="19"/>
  <c r="C27" i="19"/>
  <c r="G25" i="19"/>
  <c r="F25" i="19"/>
  <c r="E25" i="19"/>
  <c r="D25" i="19"/>
  <c r="C25" i="19"/>
  <c r="G24" i="19"/>
  <c r="F24" i="19"/>
  <c r="E24" i="19"/>
  <c r="D24" i="19"/>
  <c r="C24" i="19"/>
  <c r="G23" i="19"/>
  <c r="F23" i="19"/>
  <c r="E23" i="19"/>
  <c r="D23" i="19"/>
  <c r="G21" i="19"/>
  <c r="F21" i="19"/>
  <c r="E21" i="19"/>
  <c r="D21" i="19"/>
  <c r="C21" i="19"/>
  <c r="G20" i="19"/>
  <c r="F20" i="19"/>
  <c r="E20" i="19"/>
  <c r="D20" i="19"/>
  <c r="C20" i="19"/>
  <c r="G19" i="19"/>
  <c r="F19" i="19"/>
  <c r="E19" i="19"/>
  <c r="D19" i="19"/>
  <c r="C19" i="19"/>
  <c r="G18" i="19"/>
  <c r="F18" i="19"/>
  <c r="E18" i="19"/>
  <c r="D18" i="19"/>
  <c r="C18" i="19"/>
  <c r="G17" i="19"/>
  <c r="F17" i="19"/>
  <c r="E17" i="19"/>
  <c r="D17" i="19"/>
  <c r="C17" i="19"/>
  <c r="J7" i="19"/>
  <c r="J8" i="19" s="1"/>
  <c r="J9" i="19" s="1"/>
  <c r="J10" i="19" s="1"/>
  <c r="J11" i="19" s="1"/>
  <c r="J12" i="19" s="1"/>
  <c r="J13" i="19" s="1"/>
  <c r="A6" i="19"/>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3" i="19"/>
  <c r="A2" i="19"/>
  <c r="A1" i="19"/>
  <c r="AC235" i="7"/>
  <c r="AC236" i="7"/>
  <c r="AC237" i="7" s="1"/>
  <c r="AC238" i="7" s="1"/>
  <c r="AC239" i="7" s="1"/>
  <c r="AC240" i="7" s="1"/>
  <c r="AC241" i="7" s="1"/>
  <c r="AC242" i="7" s="1"/>
  <c r="AC243" i="7" s="1"/>
  <c r="AC244" i="7" s="1"/>
  <c r="AC245" i="7" s="1"/>
  <c r="AC212" i="7"/>
  <c r="AC213" i="7"/>
  <c r="AC214" i="7"/>
  <c r="AC215" i="7"/>
  <c r="AC216" i="7"/>
  <c r="AC217" i="7"/>
  <c r="AC218" i="7"/>
  <c r="AC219" i="7"/>
  <c r="AC220" i="7"/>
  <c r="AC221" i="7"/>
  <c r="AC222" i="7"/>
  <c r="AC223" i="7"/>
  <c r="AC224" i="7"/>
  <c r="AC225" i="7"/>
  <c r="AC226" i="7"/>
  <c r="AC227" i="7"/>
  <c r="AC228" i="7"/>
  <c r="AC229" i="7"/>
  <c r="AC230" i="7"/>
  <c r="AC231" i="7"/>
  <c r="AC232" i="7"/>
  <c r="AC233" i="7"/>
  <c r="AC234" i="7"/>
  <c r="AC94" i="7"/>
  <c r="AC95" i="7" s="1"/>
  <c r="AC96" i="7" s="1"/>
  <c r="AC97" i="7" s="1"/>
  <c r="AC98" i="7" s="1"/>
  <c r="AC99" i="7" s="1"/>
  <c r="AC15" i="7"/>
  <c r="AC16" i="7" s="1"/>
  <c r="AC17" i="7" s="1"/>
  <c r="AC18" i="7" s="1"/>
  <c r="AC19" i="7" s="1"/>
  <c r="AC20" i="7" s="1"/>
  <c r="AC21" i="7" s="1"/>
  <c r="AC22" i="7" s="1"/>
  <c r="AC23" i="7" s="1"/>
  <c r="AC24" i="7" s="1"/>
  <c r="AC25" i="7" s="1"/>
  <c r="AC26" i="7" s="1"/>
  <c r="AC27" i="7" s="1"/>
  <c r="AC28" i="7" s="1"/>
  <c r="AC29" i="7" s="1"/>
  <c r="AC30" i="7" s="1"/>
  <c r="AC31" i="7" s="1"/>
  <c r="AC32" i="7" s="1"/>
  <c r="AC33" i="7" s="1"/>
  <c r="AC34" i="7" s="1"/>
  <c r="AC35" i="7" s="1"/>
  <c r="AC36" i="7" s="1"/>
  <c r="AC37" i="7" s="1"/>
  <c r="AC38" i="7" s="1"/>
  <c r="AC39" i="7" s="1"/>
  <c r="AC40" i="7" s="1"/>
  <c r="AC41" i="7" s="1"/>
  <c r="AC42" i="7" s="1"/>
  <c r="AC43" i="7" s="1"/>
  <c r="AC44" i="7" s="1"/>
  <c r="AC45" i="7" s="1"/>
  <c r="AC46" i="7" s="1"/>
  <c r="AC47" i="7" s="1"/>
  <c r="AC48" i="7" s="1"/>
  <c r="AC49" i="7" s="1"/>
  <c r="AC50" i="7" s="1"/>
  <c r="AC51" i="7" s="1"/>
  <c r="AC52" i="7" s="1"/>
  <c r="AC53" i="7" s="1"/>
  <c r="AC54" i="7" s="1"/>
  <c r="AC55" i="7" s="1"/>
  <c r="AC56" i="7" s="1"/>
  <c r="AC57" i="7" s="1"/>
  <c r="AC58" i="7" s="1"/>
  <c r="AC59" i="7" s="1"/>
  <c r="AC60" i="7" s="1"/>
  <c r="AC61" i="7" s="1"/>
  <c r="AC62" i="7" s="1"/>
  <c r="AC63" i="7" s="1"/>
  <c r="AC64" i="7" s="1"/>
  <c r="AC65" i="7" s="1"/>
  <c r="AC66" i="7" s="1"/>
  <c r="AC67" i="7" s="1"/>
  <c r="AC68" i="7" s="1"/>
  <c r="AC69" i="7" s="1"/>
  <c r="AC70" i="7" s="1"/>
  <c r="AC71" i="7" s="1"/>
  <c r="AC72" i="7" s="1"/>
  <c r="AC73" i="7" s="1"/>
  <c r="AC74" i="7" s="1"/>
  <c r="AC75" i="7" s="1"/>
  <c r="AC76" i="7" s="1"/>
  <c r="AC77" i="7" s="1"/>
  <c r="AC78" i="7" s="1"/>
  <c r="AC79" i="7" s="1"/>
  <c r="AC80" i="7" s="1"/>
  <c r="AC81" i="7" s="1"/>
  <c r="AC82" i="7" s="1"/>
  <c r="AC83" i="7" s="1"/>
  <c r="AC84" i="7" s="1"/>
  <c r="AC85" i="7" s="1"/>
  <c r="AC86" i="7" s="1"/>
  <c r="AC87" i="7" s="1"/>
  <c r="AC88" i="7" s="1"/>
  <c r="AC89" i="7" s="1"/>
  <c r="AC90" i="7" s="1"/>
  <c r="AC91" i="7" s="1"/>
  <c r="AC92" i="7" s="1"/>
  <c r="AC93" i="7" s="1"/>
  <c r="B37" i="7"/>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V43" i="7"/>
  <c r="V44" i="7"/>
  <c r="V42" i="7"/>
  <c r="S42" i="7"/>
  <c r="S43" i="7"/>
  <c r="S44" i="7"/>
  <c r="S41" i="7"/>
  <c r="L42" i="7"/>
  <c r="M42" i="7"/>
  <c r="N42" i="7"/>
  <c r="Q42" i="7"/>
  <c r="L43" i="7"/>
  <c r="M43" i="7"/>
  <c r="N43" i="7"/>
  <c r="O45" i="6"/>
  <c r="O10" i="6"/>
  <c r="S104" i="7"/>
  <c r="S64" i="7"/>
  <c r="S63" i="7"/>
  <c r="S53" i="7"/>
  <c r="S54" i="7"/>
  <c r="S55" i="7"/>
  <c r="S50" i="7"/>
  <c r="S39" i="7"/>
  <c r="S38" i="7"/>
  <c r="S37" i="7"/>
  <c r="S31" i="7"/>
  <c r="S21" i="7"/>
  <c r="S16" i="7"/>
  <c r="M44" i="7"/>
  <c r="L44" i="7"/>
  <c r="K43" i="7"/>
  <c r="K44" i="7"/>
  <c r="K42" i="7"/>
  <c r="B241" i="7"/>
  <c r="B242" i="7"/>
  <c r="B243" i="7"/>
  <c r="B244" i="7"/>
  <c r="B245" i="7"/>
  <c r="C241" i="7"/>
  <c r="C242" i="7"/>
  <c r="C243" i="7"/>
  <c r="L22" i="8"/>
  <c r="L23" i="8" s="1"/>
  <c r="L24" i="8" s="1"/>
  <c r="L25" i="8" s="1"/>
  <c r="L26" i="8" s="1"/>
  <c r="L27" i="8" s="1"/>
  <c r="L28" i="8" s="1"/>
  <c r="L29" i="8" s="1"/>
  <c r="L30" i="8" s="1"/>
  <c r="L31" i="8" s="1"/>
  <c r="L32" i="8" s="1"/>
  <c r="L33" i="8" s="1"/>
  <c r="L34" i="8" s="1"/>
  <c r="L35" i="8" s="1"/>
  <c r="L36" i="8" s="1"/>
  <c r="L37" i="8" s="1"/>
  <c r="V16" i="11"/>
  <c r="V17" i="11" s="1"/>
  <c r="V18" i="11" s="1"/>
  <c r="V19" i="11" s="1"/>
  <c r="V20" i="11" s="1"/>
  <c r="V21" i="11" s="1"/>
  <c r="V22" i="11" s="1"/>
  <c r="V23" i="11" s="1"/>
  <c r="V24" i="11" s="1"/>
  <c r="V25" i="11" s="1"/>
  <c r="V26" i="11" s="1"/>
  <c r="V27" i="11" s="1"/>
  <c r="V28" i="11" s="1"/>
  <c r="V29" i="11" s="1"/>
  <c r="V30" i="11" s="1"/>
  <c r="V31" i="11" s="1"/>
  <c r="V32" i="11" s="1"/>
  <c r="V33" i="11" s="1"/>
  <c r="V34" i="11" s="1"/>
  <c r="V35" i="11" s="1"/>
  <c r="V36" i="11" s="1"/>
  <c r="V37" i="11" s="1"/>
  <c r="V38" i="11" s="1"/>
  <c r="V39" i="11" s="1"/>
  <c r="V40" i="11" s="1"/>
  <c r="B118" i="16"/>
  <c r="Q66" i="7"/>
  <c r="Q65" i="7"/>
  <c r="Q63" i="7"/>
  <c r="Q62" i="7"/>
  <c r="Q57" i="7"/>
  <c r="Q56" i="7"/>
  <c r="Q55" i="7"/>
  <c r="Q48" i="7"/>
  <c r="Q40" i="7"/>
  <c r="Q21" i="7"/>
  <c r="Q18" i="7"/>
  <c r="Q16" i="7"/>
  <c r="O43" i="6"/>
  <c r="O41" i="6"/>
  <c r="O40" i="6"/>
  <c r="O37" i="6"/>
  <c r="O36" i="6"/>
  <c r="O31" i="6"/>
  <c r="O30" i="6"/>
  <c r="O29" i="6"/>
  <c r="O27" i="6"/>
  <c r="O28" i="6" s="1"/>
  <c r="O24" i="6"/>
  <c r="O23" i="6"/>
  <c r="O11" i="6"/>
  <c r="O22" i="6"/>
  <c r="O35" i="10"/>
  <c r="O36" i="10"/>
  <c r="O37" i="10"/>
  <c r="O38" i="10"/>
  <c r="O39" i="10"/>
  <c r="U44" i="2"/>
  <c r="U40" i="2"/>
  <c r="U41" i="2" s="1"/>
  <c r="U42" i="2" s="1"/>
  <c r="U43" i="2" s="1"/>
  <c r="T44" i="2"/>
  <c r="T40" i="2"/>
  <c r="T41" i="2" s="1"/>
  <c r="T42" i="2" s="1"/>
  <c r="T43" i="2" s="1"/>
  <c r="T39" i="2"/>
  <c r="S40" i="2"/>
  <c r="S41" i="2"/>
  <c r="S42" i="2"/>
  <c r="S43" i="2"/>
  <c r="S44" i="2"/>
  <c r="R44" i="2"/>
  <c r="R40" i="2"/>
  <c r="R41" i="2"/>
  <c r="R42" i="2"/>
  <c r="R43" i="2"/>
  <c r="O40" i="2"/>
  <c r="O41" i="2"/>
  <c r="O42" i="2" s="1"/>
  <c r="O43" i="2" s="1"/>
  <c r="O44" i="2" s="1"/>
  <c r="I35" i="10"/>
  <c r="I36" i="10"/>
  <c r="I37" i="10"/>
  <c r="I38" i="10"/>
  <c r="I39" i="10"/>
  <c r="E45" i="2"/>
  <c r="I18" i="2"/>
  <c r="L18" i="2"/>
  <c r="L17" i="2"/>
  <c r="L16" i="2"/>
  <c r="K14" i="2"/>
  <c r="K15" i="2"/>
  <c r="K16" i="2"/>
  <c r="K17" i="2" s="1"/>
  <c r="K18" i="2" s="1"/>
  <c r="K19" i="2" s="1"/>
  <c r="K20" i="2" s="1"/>
  <c r="K21" i="2" s="1"/>
  <c r="K22" i="2" s="1"/>
  <c r="K23" i="2" s="1"/>
  <c r="K24" i="2" s="1"/>
  <c r="K25" i="2" s="1"/>
  <c r="K26" i="2" s="1"/>
  <c r="K27" i="2" s="1"/>
  <c r="K28" i="2" s="1"/>
  <c r="K29" i="2" s="1"/>
  <c r="K30" i="2" s="1"/>
  <c r="K31" i="2" s="1"/>
  <c r="K32" i="2" s="1"/>
  <c r="K33" i="2" s="1"/>
  <c r="K34" i="2" s="1"/>
  <c r="K35" i="2" s="1"/>
  <c r="K36" i="2" s="1"/>
  <c r="K37" i="2" s="1"/>
  <c r="K38" i="2" s="1"/>
  <c r="K39" i="2" s="1"/>
  <c r="I12" i="2"/>
  <c r="K42" i="2"/>
  <c r="I38" i="2"/>
  <c r="I37" i="2"/>
  <c r="E35" i="2"/>
  <c r="F35" i="2"/>
  <c r="G35" i="2"/>
  <c r="H35" i="2"/>
  <c r="I35" i="2"/>
  <c r="J35" i="2"/>
  <c r="L35" i="2"/>
  <c r="E36" i="2"/>
  <c r="F36" i="2"/>
  <c r="G36" i="2"/>
  <c r="H36" i="2"/>
  <c r="I36" i="2"/>
  <c r="J36" i="2"/>
  <c r="L36" i="2"/>
  <c r="L37" i="2" s="1"/>
  <c r="L38" i="2" s="1"/>
  <c r="L39" i="2" s="1"/>
  <c r="E37" i="2"/>
  <c r="E38" i="2" s="1"/>
  <c r="F37" i="2"/>
  <c r="F38" i="2" s="1"/>
  <c r="F39" i="2" s="1"/>
  <c r="G37" i="2"/>
  <c r="G38" i="2" s="1"/>
  <c r="G39" i="2" s="1"/>
  <c r="H37" i="2"/>
  <c r="J37" i="2" s="1"/>
  <c r="H34" i="2"/>
  <c r="G34" i="2"/>
  <c r="E34" i="2"/>
  <c r="D35" i="2"/>
  <c r="D36" i="2"/>
  <c r="D37" i="2"/>
  <c r="D38" i="2"/>
  <c r="D39" i="2"/>
  <c r="B35" i="2"/>
  <c r="B36" i="2" s="1"/>
  <c r="B37" i="2" s="1"/>
  <c r="B38" i="2" s="1"/>
  <c r="B39" i="2" s="1"/>
  <c r="M11" i="13"/>
  <c r="D81" i="16"/>
  <c r="E81" i="16"/>
  <c r="F81" i="16"/>
  <c r="G81" i="16"/>
  <c r="H81" i="16"/>
  <c r="I81" i="16"/>
  <c r="J81" i="16"/>
  <c r="K81" i="16"/>
  <c r="C81" i="16"/>
  <c r="L36" i="7"/>
  <c r="K36" i="7"/>
  <c r="M36" i="7" s="1"/>
  <c r="N36" i="7" s="1"/>
  <c r="C235" i="7"/>
  <c r="CI45" i="10"/>
  <c r="CJ45" i="10"/>
  <c r="CI46" i="10"/>
  <c r="CJ46" i="10"/>
  <c r="CI47" i="10"/>
  <c r="CJ47" i="10"/>
  <c r="B119" i="16"/>
  <c r="AG45" i="10"/>
  <c r="AG46" i="10"/>
  <c r="AG47" i="10"/>
  <c r="AA33" i="10"/>
  <c r="J74" i="16"/>
  <c r="K74" i="16"/>
  <c r="J75" i="16"/>
  <c r="K75" i="16"/>
  <c r="J91" i="16"/>
  <c r="K91" i="16"/>
  <c r="C91" i="16"/>
  <c r="D91" i="16"/>
  <c r="E91" i="16"/>
  <c r="F91" i="16"/>
  <c r="G91" i="16"/>
  <c r="H91" i="16"/>
  <c r="I91" i="16"/>
  <c r="B90" i="16"/>
  <c r="B81" i="16"/>
  <c r="S44" i="11"/>
  <c r="T44" i="11"/>
  <c r="U44" i="11"/>
  <c r="W44" i="11"/>
  <c r="S45" i="11"/>
  <c r="T45" i="11"/>
  <c r="U45" i="11"/>
  <c r="W45" i="11"/>
  <c r="S46" i="11"/>
  <c r="T46" i="11"/>
  <c r="U46" i="11"/>
  <c r="W46" i="11"/>
  <c r="S47" i="11"/>
  <c r="T47" i="11"/>
  <c r="U47" i="11"/>
  <c r="W47" i="11"/>
  <c r="R47" i="11"/>
  <c r="Q44" i="11"/>
  <c r="R44" i="11"/>
  <c r="L44" i="11"/>
  <c r="M44" i="11"/>
  <c r="O44" i="11"/>
  <c r="P44" i="11"/>
  <c r="L45" i="11"/>
  <c r="M45" i="11"/>
  <c r="O45" i="11"/>
  <c r="P45" i="11"/>
  <c r="L46" i="11"/>
  <c r="M46" i="11"/>
  <c r="O46" i="11"/>
  <c r="P46" i="11"/>
  <c r="X44" i="11"/>
  <c r="X45" i="11"/>
  <c r="X46" i="11"/>
  <c r="C112" i="13"/>
  <c r="Y44" i="11"/>
  <c r="Z44" i="11"/>
  <c r="Y45" i="11"/>
  <c r="Z45" i="11"/>
  <c r="Y46" i="11"/>
  <c r="Z46" i="11"/>
  <c r="M47" i="11"/>
  <c r="O47" i="11"/>
  <c r="P47" i="11"/>
  <c r="L47" i="11"/>
  <c r="R19" i="11"/>
  <c r="R45" i="11"/>
  <c r="R46" i="11"/>
  <c r="Y12" i="11"/>
  <c r="A3" i="14"/>
  <c r="A2" i="14"/>
  <c r="A3" i="17"/>
  <c r="A2" i="17"/>
  <c r="A3" i="16"/>
  <c r="A2" i="16"/>
  <c r="B62" i="17"/>
  <c r="B59" i="17"/>
  <c r="B60" i="17"/>
  <c r="H54" i="17"/>
  <c r="H55" i="17" s="1"/>
  <c r="H56" i="17" s="1"/>
  <c r="H57" i="17" s="1"/>
  <c r="H58" i="17" s="1"/>
  <c r="H59" i="17" s="1"/>
  <c r="H60" i="17" s="1"/>
  <c r="H61" i="17" s="1"/>
  <c r="H62" i="17" s="1"/>
  <c r="H63" i="17" s="1"/>
  <c r="H64" i="17" s="1"/>
  <c r="H65" i="17" s="1"/>
  <c r="H66" i="17" s="1"/>
  <c r="A54" i="17"/>
  <c r="A55" i="17" s="1"/>
  <c r="A56" i="17" s="1"/>
  <c r="A57" i="17" s="1"/>
  <c r="A58" i="17" s="1"/>
  <c r="A59" i="17" s="1"/>
  <c r="A60" i="17" s="1"/>
  <c r="A61" i="17" s="1"/>
  <c r="A62" i="17" s="1"/>
  <c r="A63" i="17" s="1"/>
  <c r="A64" i="17" s="1"/>
  <c r="A65" i="17" s="1"/>
  <c r="A66" i="17" s="1"/>
  <c r="A67" i="17" s="1"/>
  <c r="H11" i="17"/>
  <c r="H12" i="17" s="1"/>
  <c r="H13" i="17" s="1"/>
  <c r="H14" i="17" s="1"/>
  <c r="H15" i="17" s="1"/>
  <c r="H16" i="17" s="1"/>
  <c r="H17" i="17" s="1"/>
  <c r="H18" i="17" s="1"/>
  <c r="H19" i="17" s="1"/>
  <c r="H20" i="17" s="1"/>
  <c r="H21" i="17" s="1"/>
  <c r="H22" i="17" s="1"/>
  <c r="H23" i="17" s="1"/>
  <c r="H24" i="17" s="1"/>
  <c r="H25" i="17" s="1"/>
  <c r="A11" i="17"/>
  <c r="A12" i="17" s="1"/>
  <c r="A13" i="17" s="1"/>
  <c r="A14" i="17" s="1"/>
  <c r="A15" i="17" s="1"/>
  <c r="A16" i="17" s="1"/>
  <c r="A17" i="17" s="1"/>
  <c r="A18" i="17" s="1"/>
  <c r="A19" i="17" s="1"/>
  <c r="A20" i="17" s="1"/>
  <c r="A21" i="17" s="1"/>
  <c r="B54" i="17"/>
  <c r="B55" i="17"/>
  <c r="B56" i="17"/>
  <c r="C66" i="16"/>
  <c r="C65" i="16"/>
  <c r="X45" i="10"/>
  <c r="X46" i="10"/>
  <c r="X47" i="10"/>
  <c r="AE45" i="10"/>
  <c r="AF45" i="10"/>
  <c r="AH45" i="10"/>
  <c r="AE46" i="10"/>
  <c r="AF46" i="10"/>
  <c r="AH46" i="10"/>
  <c r="AE47" i="10"/>
  <c r="AF47" i="10"/>
  <c r="AH47" i="10"/>
  <c r="AA8" i="10"/>
  <c r="AA9" i="10"/>
  <c r="AA10" i="10"/>
  <c r="AL16" i="10"/>
  <c r="AL18" i="10"/>
  <c r="AL19" i="10"/>
  <c r="AL20" i="10"/>
  <c r="AL21" i="10"/>
  <c r="AL22" i="10"/>
  <c r="AL23" i="10"/>
  <c r="AL24" i="10"/>
  <c r="AL25" i="10"/>
  <c r="AL26" i="10"/>
  <c r="AL27" i="10"/>
  <c r="AL28" i="10"/>
  <c r="V13" i="10"/>
  <c r="V14" i="10" s="1"/>
  <c r="V15" i="10" s="1"/>
  <c r="V16" i="10" s="1"/>
  <c r="V17" i="10" s="1"/>
  <c r="J15" i="10"/>
  <c r="K25" i="3"/>
  <c r="G19" i="3"/>
  <c r="L10" i="3"/>
  <c r="H10" i="3"/>
  <c r="G12" i="3"/>
  <c r="C13" i="3"/>
  <c r="C14" i="3"/>
  <c r="C15" i="3"/>
  <c r="C16" i="3"/>
  <c r="C17" i="3"/>
  <c r="C18" i="3"/>
  <c r="C19" i="3"/>
  <c r="C20" i="3"/>
  <c r="C12" i="3"/>
  <c r="D10" i="3"/>
  <c r="B73" i="3"/>
  <c r="Z14" i="5"/>
  <c r="BL45" i="10"/>
  <c r="BL46" i="10"/>
  <c r="BL47" i="10"/>
  <c r="CT45" i="10"/>
  <c r="CT46" i="10"/>
  <c r="CT47" i="10"/>
  <c r="H15" i="6"/>
  <c r="M15" i="6"/>
  <c r="K20" i="5"/>
  <c r="W20" i="5"/>
  <c r="C70" i="6"/>
  <c r="M14" i="6"/>
  <c r="K19" i="5"/>
  <c r="L56" i="6"/>
  <c r="L57" i="6"/>
  <c r="L58" i="6"/>
  <c r="W19" i="5"/>
  <c r="R14" i="6" s="1"/>
  <c r="W18" i="5"/>
  <c r="R13" i="6" s="1"/>
  <c r="K18" i="5"/>
  <c r="M13" i="6"/>
  <c r="C68" i="6"/>
  <c r="C69" i="6"/>
  <c r="J4" i="5"/>
  <c r="K115" i="5"/>
  <c r="K116" i="5"/>
  <c r="K117" i="5"/>
  <c r="J17" i="5"/>
  <c r="P15" i="10" s="1"/>
  <c r="S13" i="6"/>
  <c r="L15" i="6" l="1"/>
  <c r="Q43" i="7"/>
  <c r="Q44" i="7"/>
  <c r="F26" i="19"/>
  <c r="D26" i="19"/>
  <c r="E26" i="19"/>
  <c r="N44" i="7"/>
  <c r="H38" i="2"/>
  <c r="J38" i="2" s="1"/>
  <c r="E39" i="2"/>
  <c r="H39" i="2" s="1"/>
  <c r="I39" i="2" s="1"/>
  <c r="J39" i="2" s="1"/>
  <c r="C69" i="16"/>
  <c r="V18" i="10"/>
  <c r="V19" i="10" s="1"/>
  <c r="V20" i="10" s="1"/>
  <c r="V21" i="10" s="1"/>
  <c r="V22" i="10" s="1"/>
  <c r="V23" i="10" s="1"/>
  <c r="V24" i="10" s="1"/>
  <c r="V25" i="10" s="1"/>
  <c r="V26" i="10" s="1"/>
  <c r="L14" i="6"/>
  <c r="L13" i="6"/>
  <c r="C293" i="7"/>
  <c r="C292" i="7"/>
  <c r="C277" i="7"/>
  <c r="C288" i="7"/>
  <c r="C278" i="7"/>
  <c r="C290" i="7"/>
  <c r="C286" i="7"/>
  <c r="C287" i="7"/>
  <c r="W12" i="10"/>
  <c r="C285" i="7"/>
  <c r="C304" i="7"/>
  <c r="C282" i="7"/>
  <c r="C130" i="5"/>
  <c r="Q22" i="11"/>
  <c r="Q23" i="11"/>
  <c r="Q24" i="11"/>
  <c r="Q25" i="11"/>
  <c r="Q26" i="11"/>
  <c r="Q27" i="11"/>
  <c r="Q28" i="11"/>
  <c r="Q29" i="11"/>
  <c r="Q21" i="11"/>
  <c r="C127" i="5"/>
  <c r="C128" i="5"/>
  <c r="C129" i="5"/>
  <c r="C274" i="7"/>
  <c r="K75" i="7"/>
  <c r="L75" i="7"/>
  <c r="N75" i="7"/>
  <c r="O75" i="7"/>
  <c r="Q75" i="7"/>
  <c r="C74" i="13"/>
  <c r="BS45" i="10"/>
  <c r="BT45" i="10"/>
  <c r="BU45" i="10"/>
  <c r="BV45" i="10"/>
  <c r="BW45" i="10"/>
  <c r="BS46" i="10"/>
  <c r="BT46" i="10"/>
  <c r="BU46" i="10"/>
  <c r="BV46" i="10"/>
  <c r="BW46" i="10"/>
  <c r="BS47" i="10"/>
  <c r="BT47" i="10"/>
  <c r="BU47" i="10"/>
  <c r="BV47" i="10"/>
  <c r="BW47" i="10"/>
  <c r="BR45" i="10"/>
  <c r="BR46" i="10"/>
  <c r="BR47" i="10"/>
  <c r="BP45" i="10"/>
  <c r="BQ45" i="10"/>
  <c r="BX45" i="10"/>
  <c r="BY45" i="10"/>
  <c r="BZ45" i="10"/>
  <c r="BP46" i="10"/>
  <c r="BQ46" i="10"/>
  <c r="BX46" i="10"/>
  <c r="BY46" i="10"/>
  <c r="BZ46" i="10"/>
  <c r="BP47" i="10"/>
  <c r="BQ47" i="10"/>
  <c r="BX47" i="10"/>
  <c r="BY47" i="10"/>
  <c r="BZ47" i="10"/>
  <c r="AB45" i="10"/>
  <c r="AC45" i="10"/>
  <c r="AD45" i="10"/>
  <c r="AI45" i="10"/>
  <c r="AK45" i="10"/>
  <c r="AN45" i="10"/>
  <c r="AJ45" i="10"/>
  <c r="AL45" i="10"/>
  <c r="AO45" i="10"/>
  <c r="AB46" i="10"/>
  <c r="AC46" i="10"/>
  <c r="AD46" i="10"/>
  <c r="AI46" i="10"/>
  <c r="AK46" i="10"/>
  <c r="AN46" i="10"/>
  <c r="AJ46" i="10"/>
  <c r="AL46" i="10"/>
  <c r="AO46" i="10"/>
  <c r="AB47" i="10"/>
  <c r="AC47" i="10"/>
  <c r="AD47" i="10"/>
  <c r="AI47" i="10"/>
  <c r="AK47" i="10"/>
  <c r="AN47" i="10"/>
  <c r="AJ47" i="10"/>
  <c r="AL47" i="10"/>
  <c r="AO47" i="10"/>
  <c r="AV45" i="10"/>
  <c r="AV46" i="10"/>
  <c r="AV47" i="10"/>
  <c r="P75" i="7" l="1"/>
  <c r="BO45" i="10"/>
  <c r="BO46" i="10"/>
  <c r="BO47" i="10"/>
  <c r="CN45" i="10"/>
  <c r="CN46" i="10"/>
  <c r="CN47" i="10"/>
  <c r="Z59" i="5"/>
  <c r="Y59" i="5"/>
  <c r="C168" i="5"/>
  <c r="C257" i="7"/>
  <c r="C258" i="7"/>
  <c r="CM45" i="10"/>
  <c r="CM46" i="10"/>
  <c r="CM47" i="10"/>
  <c r="BM46" i="10"/>
  <c r="BN46" i="10"/>
  <c r="BK45" i="10"/>
  <c r="BM45" i="10"/>
  <c r="BN45" i="10"/>
  <c r="BK46" i="10"/>
  <c r="BK47" i="10"/>
  <c r="BM47" i="10"/>
  <c r="BN47" i="10"/>
  <c r="CO45" i="10"/>
  <c r="CP45" i="10"/>
  <c r="CO46" i="10"/>
  <c r="CP46" i="10"/>
  <c r="CO47" i="10"/>
  <c r="CP47" i="10"/>
  <c r="CK45" i="10"/>
  <c r="CL45" i="10"/>
  <c r="CK46" i="10"/>
  <c r="CL46" i="10"/>
  <c r="CK47" i="10"/>
  <c r="CL47" i="10"/>
  <c r="CA45" i="10"/>
  <c r="CB45" i="10"/>
  <c r="CH45" i="10"/>
  <c r="CC45" i="10"/>
  <c r="CD45" i="10"/>
  <c r="CE45" i="10"/>
  <c r="CF45" i="10"/>
  <c r="CA46" i="10"/>
  <c r="CB46" i="10"/>
  <c r="CH46" i="10"/>
  <c r="CC46" i="10"/>
  <c r="CD46" i="10"/>
  <c r="CE46" i="10"/>
  <c r="CF46" i="10"/>
  <c r="CA47" i="10"/>
  <c r="CB47" i="10"/>
  <c r="CH47" i="10"/>
  <c r="CC47" i="10"/>
  <c r="CD47" i="10"/>
  <c r="CE47" i="10"/>
  <c r="CF47" i="10"/>
  <c r="AF13" i="11"/>
  <c r="AF14" i="11" s="1"/>
  <c r="AF15" i="11" s="1"/>
  <c r="AF16" i="11" s="1"/>
  <c r="AF17" i="11" s="1"/>
  <c r="AF18" i="11" s="1"/>
  <c r="CS45" i="10"/>
  <c r="CS46" i="10"/>
  <c r="CS47" i="10"/>
  <c r="CR45" i="10"/>
  <c r="CR46" i="10"/>
  <c r="CR47" i="10"/>
  <c r="CG45" i="10"/>
  <c r="CQ45" i="10"/>
  <c r="CG46" i="10"/>
  <c r="CQ46" i="10"/>
  <c r="CG47" i="10"/>
  <c r="CQ47" i="10"/>
  <c r="AU45" i="10"/>
  <c r="AU46" i="10"/>
  <c r="AU47" i="10"/>
  <c r="BB45" i="10"/>
  <c r="BB46" i="10"/>
  <c r="BB47" i="10"/>
  <c r="AS45" i="10"/>
  <c r="AS46" i="10"/>
  <c r="AS47" i="10"/>
  <c r="AA45" i="10"/>
  <c r="AQ45" i="10"/>
  <c r="AA46" i="10"/>
  <c r="AQ46" i="10"/>
  <c r="AA47" i="10"/>
  <c r="AQ47" i="10"/>
  <c r="U45" i="10"/>
  <c r="V45" i="10"/>
  <c r="W45" i="10"/>
  <c r="U46" i="10"/>
  <c r="V46" i="10"/>
  <c r="W46" i="10"/>
  <c r="U47" i="10"/>
  <c r="V47" i="10"/>
  <c r="W47" i="10"/>
  <c r="V8" i="10"/>
  <c r="V27" i="10"/>
  <c r="V28" i="10" s="1"/>
  <c r="V29" i="10" s="1"/>
  <c r="V30" i="10" s="1"/>
  <c r="W19" i="10"/>
  <c r="W20" i="10"/>
  <c r="X20" i="10" s="1"/>
  <c r="W21" i="10"/>
  <c r="X21" i="10" s="1"/>
  <c r="W22" i="10"/>
  <c r="W23" i="10"/>
  <c r="X23" i="10" s="1"/>
  <c r="W24" i="10"/>
  <c r="W25" i="10"/>
  <c r="G40" i="10"/>
  <c r="C284" i="7"/>
  <c r="B89" i="16"/>
  <c r="V31" i="10" l="1"/>
  <c r="X25" i="10"/>
  <c r="X24" i="10"/>
  <c r="X22" i="10"/>
  <c r="W26" i="10"/>
  <c r="X26" i="10" s="1"/>
  <c r="C18" i="10"/>
  <c r="Z45" i="10"/>
  <c r="Z46" i="10"/>
  <c r="Z47" i="10"/>
  <c r="Y40" i="10"/>
  <c r="W40" i="10"/>
  <c r="V32" i="10" l="1"/>
  <c r="Y42" i="10"/>
  <c r="I102" i="5"/>
  <c r="I17" i="5" s="1"/>
  <c r="I101" i="5"/>
  <c r="I16" i="5" s="1"/>
  <c r="I100" i="5"/>
  <c r="I28" i="5" s="1"/>
  <c r="BG45" i="10"/>
  <c r="BH45" i="10"/>
  <c r="BG46" i="10"/>
  <c r="BH46" i="10"/>
  <c r="BG47" i="10"/>
  <c r="BH47" i="10"/>
  <c r="AW46" i="10"/>
  <c r="BJ46" i="10"/>
  <c r="BJ47" i="10"/>
  <c r="BE45" i="10"/>
  <c r="BF45" i="10"/>
  <c r="BD46" i="10"/>
  <c r="BE46" i="10"/>
  <c r="BF46" i="10"/>
  <c r="BI46" i="10"/>
  <c r="BD47" i="10"/>
  <c r="BE47" i="10"/>
  <c r="BF47" i="10"/>
  <c r="BI47" i="10"/>
  <c r="L56" i="7"/>
  <c r="L57" i="7"/>
  <c r="C256" i="7"/>
  <c r="K57" i="7"/>
  <c r="M57" i="7" s="1"/>
  <c r="K56" i="7"/>
  <c r="M56" i="7" s="1"/>
  <c r="N56" i="7" s="1"/>
  <c r="B94" i="16"/>
  <c r="B113" i="16"/>
  <c r="C75" i="16"/>
  <c r="B73" i="16"/>
  <c r="B74" i="16"/>
  <c r="B75" i="16"/>
  <c r="L74" i="16"/>
  <c r="L75" i="16" s="1"/>
  <c r="L76" i="16" s="1"/>
  <c r="L77" i="16" s="1"/>
  <c r="L78" i="16" s="1"/>
  <c r="L79" i="16" s="1"/>
  <c r="L80" i="16" s="1"/>
  <c r="L81" i="16" s="1"/>
  <c r="L82" i="16" s="1"/>
  <c r="L83" i="16" s="1"/>
  <c r="L84" i="16" s="1"/>
  <c r="L85" i="16" s="1"/>
  <c r="L86" i="16" s="1"/>
  <c r="L87" i="16" s="1"/>
  <c r="L88" i="16" s="1"/>
  <c r="L89" i="16" s="1"/>
  <c r="L90" i="16" s="1"/>
  <c r="L91" i="16" s="1"/>
  <c r="L92" i="16" s="1"/>
  <c r="L93" i="16" s="1"/>
  <c r="L94" i="16" s="1"/>
  <c r="L95" i="16" s="1"/>
  <c r="L96" i="16" s="1"/>
  <c r="L97" i="16" s="1"/>
  <c r="L98" i="16" s="1"/>
  <c r="A74" i="16"/>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L9" i="16"/>
  <c r="L10" i="16" s="1"/>
  <c r="L11" i="16" s="1"/>
  <c r="L12" i="16" s="1"/>
  <c r="L13" i="16" s="1"/>
  <c r="L14" i="16" s="1"/>
  <c r="L15" i="16" s="1"/>
  <c r="L16" i="16" s="1"/>
  <c r="L17" i="16" s="1"/>
  <c r="L18" i="16" s="1"/>
  <c r="L19" i="16" s="1"/>
  <c r="L20" i="16" s="1"/>
  <c r="L21" i="16" s="1"/>
  <c r="L22" i="16" s="1"/>
  <c r="L23" i="16" s="1"/>
  <c r="L24" i="16" s="1"/>
  <c r="L25" i="16" s="1"/>
  <c r="L26" i="16" s="1"/>
  <c r="L27" i="16" s="1"/>
  <c r="L28" i="16" s="1"/>
  <c r="L29" i="16" s="1"/>
  <c r="L30" i="16" s="1"/>
  <c r="L31" i="16" s="1"/>
  <c r="L32" i="16" s="1"/>
  <c r="L33" i="16" s="1"/>
  <c r="A8" i="16"/>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B85" i="16"/>
  <c r="B86" i="16"/>
  <c r="H73" i="16"/>
  <c r="I73" i="16"/>
  <c r="H74" i="16"/>
  <c r="I74" i="16"/>
  <c r="H75" i="16"/>
  <c r="I75" i="16"/>
  <c r="B58" i="17"/>
  <c r="B61" i="17"/>
  <c r="B63" i="17"/>
  <c r="B64" i="17"/>
  <c r="B65" i="17"/>
  <c r="B66" i="17"/>
  <c r="B67" i="17"/>
  <c r="B68" i="17"/>
  <c r="B69" i="17"/>
  <c r="B57" i="17"/>
  <c r="D51" i="17"/>
  <c r="E51" i="17"/>
  <c r="F51" i="17"/>
  <c r="G51" i="17"/>
  <c r="D52" i="17"/>
  <c r="E52" i="17"/>
  <c r="F52" i="17"/>
  <c r="G52" i="17"/>
  <c r="D53" i="17"/>
  <c r="E53" i="17"/>
  <c r="F53" i="17"/>
  <c r="G53" i="17"/>
  <c r="C52" i="17"/>
  <c r="C51" i="17"/>
  <c r="H67" i="17"/>
  <c r="H68" i="17" s="1"/>
  <c r="H69" i="17" s="1"/>
  <c r="H70" i="17" s="1"/>
  <c r="H71" i="17" s="1"/>
  <c r="A68" i="17"/>
  <c r="A69" i="17" s="1"/>
  <c r="A70" i="17" s="1"/>
  <c r="A71" i="17" s="1"/>
  <c r="H26" i="17"/>
  <c r="H27" i="17" s="1"/>
  <c r="H28" i="17" s="1"/>
  <c r="A22" i="17"/>
  <c r="A23" i="17" s="1"/>
  <c r="A24" i="17" s="1"/>
  <c r="A25" i="17" s="1"/>
  <c r="A26" i="17" s="1"/>
  <c r="A27" i="17" s="1"/>
  <c r="A28" i="17" s="1"/>
  <c r="B92" i="16"/>
  <c r="B93" i="16"/>
  <c r="B87" i="16"/>
  <c r="L48" i="7"/>
  <c r="K48" i="7"/>
  <c r="M48" i="7" s="1"/>
  <c r="N48" i="7" s="1"/>
  <c r="C247" i="7"/>
  <c r="B77" i="16"/>
  <c r="K19" i="7"/>
  <c r="K20" i="7"/>
  <c r="K21" i="7"/>
  <c r="K22" i="7"/>
  <c r="K18" i="7"/>
  <c r="K17" i="7"/>
  <c r="L32" i="7"/>
  <c r="K32" i="7"/>
  <c r="M32" i="7" s="1"/>
  <c r="Q32" i="7" s="1"/>
  <c r="K50" i="7"/>
  <c r="M50" i="7" s="1"/>
  <c r="Q50" i="7" s="1"/>
  <c r="K51" i="7"/>
  <c r="M51" i="7" s="1"/>
  <c r="K23" i="7"/>
  <c r="C275" i="7"/>
  <c r="C73" i="13"/>
  <c r="C72" i="13"/>
  <c r="W73" i="13"/>
  <c r="B73" i="13"/>
  <c r="W11" i="13"/>
  <c r="B11" i="13"/>
  <c r="B12" i="13" s="1"/>
  <c r="B13" i="13" s="1"/>
  <c r="B14" i="13" s="1"/>
  <c r="P68" i="13"/>
  <c r="G68" i="13"/>
  <c r="E68" i="13"/>
  <c r="C255" i="7"/>
  <c r="K52" i="7"/>
  <c r="L23" i="7"/>
  <c r="C231" i="7"/>
  <c r="BI45" i="10"/>
  <c r="BJ45" i="10"/>
  <c r="BD45" i="10"/>
  <c r="AZ47" i="10"/>
  <c r="BA47" i="10"/>
  <c r="BC47" i="10"/>
  <c r="AW47" i="10"/>
  <c r="AW45" i="10"/>
  <c r="AZ45" i="10"/>
  <c r="BA45" i="10"/>
  <c r="BC45" i="10"/>
  <c r="AZ46" i="10"/>
  <c r="BA46" i="10"/>
  <c r="BC46" i="10"/>
  <c r="R23" i="7"/>
  <c r="Z21" i="7"/>
  <c r="C222" i="7"/>
  <c r="Q84" i="7"/>
  <c r="O84" i="7"/>
  <c r="N84" i="7"/>
  <c r="L84" i="7"/>
  <c r="K84" i="7"/>
  <c r="Q74" i="7"/>
  <c r="O74" i="7"/>
  <c r="N74" i="7"/>
  <c r="K74" i="7"/>
  <c r="L74" i="7"/>
  <c r="C283" i="7"/>
  <c r="C88" i="13"/>
  <c r="D73" i="16"/>
  <c r="D74" i="16"/>
  <c r="D75" i="16"/>
  <c r="F75" i="16"/>
  <c r="F74" i="16"/>
  <c r="F73" i="16"/>
  <c r="E75" i="16"/>
  <c r="E74" i="16"/>
  <c r="E73" i="16"/>
  <c r="B91" i="16"/>
  <c r="G75" i="16"/>
  <c r="G74" i="16"/>
  <c r="G73" i="16"/>
  <c r="D22" i="6"/>
  <c r="AT45" i="10"/>
  <c r="AT46" i="10"/>
  <c r="AT47" i="10"/>
  <c r="AR45" i="10"/>
  <c r="AR46" i="10"/>
  <c r="AR47" i="10"/>
  <c r="U26" i="7"/>
  <c r="U24" i="7"/>
  <c r="U25" i="7"/>
  <c r="L25" i="7"/>
  <c r="Q82" i="7"/>
  <c r="Q81" i="7"/>
  <c r="O82" i="7"/>
  <c r="O81" i="7"/>
  <c r="N82" i="7"/>
  <c r="N81" i="7"/>
  <c r="L82" i="7"/>
  <c r="L81" i="7"/>
  <c r="K82" i="7"/>
  <c r="K81" i="7"/>
  <c r="J82" i="7"/>
  <c r="C281" i="7"/>
  <c r="R71" i="5"/>
  <c r="L69" i="13"/>
  <c r="L70" i="13"/>
  <c r="L71" i="13"/>
  <c r="C67" i="8"/>
  <c r="G23" i="5"/>
  <c r="D25" i="5"/>
  <c r="L115" i="5"/>
  <c r="L116" i="5"/>
  <c r="L117" i="5"/>
  <c r="C75" i="6"/>
  <c r="C132" i="5"/>
  <c r="C224" i="7"/>
  <c r="R51" i="7"/>
  <c r="AC28" i="5"/>
  <c r="Z28" i="5"/>
  <c r="C137" i="5"/>
  <c r="C138" i="5"/>
  <c r="K69" i="13"/>
  <c r="K70" i="13"/>
  <c r="K71" i="13"/>
  <c r="J69" i="13"/>
  <c r="J70" i="13"/>
  <c r="J71" i="13"/>
  <c r="W49" i="7"/>
  <c r="W47" i="7"/>
  <c r="M47" i="7"/>
  <c r="Q47" i="7" s="1"/>
  <c r="L47" i="7"/>
  <c r="C246" i="7"/>
  <c r="B13" i="15"/>
  <c r="B14" i="15"/>
  <c r="B15" i="15"/>
  <c r="B16" i="15"/>
  <c r="B17" i="15"/>
  <c r="B18" i="15"/>
  <c r="B19" i="15"/>
  <c r="B20" i="15"/>
  <c r="B21" i="15"/>
  <c r="B22" i="15"/>
  <c r="B23" i="15"/>
  <c r="B24" i="15"/>
  <c r="B25" i="15"/>
  <c r="B26" i="15"/>
  <c r="J13" i="15"/>
  <c r="J14" i="15"/>
  <c r="J39" i="15"/>
  <c r="J40" i="15"/>
  <c r="J41" i="15"/>
  <c r="B39" i="15"/>
  <c r="B40" i="15"/>
  <c r="C40" i="15"/>
  <c r="C53" i="6"/>
  <c r="C108" i="6" s="1"/>
  <c r="E53" i="6"/>
  <c r="F53" i="6"/>
  <c r="AA121" i="7"/>
  <c r="AA120" i="7"/>
  <c r="X121" i="7"/>
  <c r="X120" i="7"/>
  <c r="W121" i="7"/>
  <c r="W120" i="7"/>
  <c r="Y121" i="7"/>
  <c r="Y120" i="7"/>
  <c r="C121" i="7"/>
  <c r="C320" i="7" s="1"/>
  <c r="D121" i="7"/>
  <c r="E121" i="7"/>
  <c r="C186" i="5"/>
  <c r="X77" i="5"/>
  <c r="S53" i="6" s="1"/>
  <c r="W77" i="5"/>
  <c r="R53" i="6" s="1"/>
  <c r="V77" i="5"/>
  <c r="Q53" i="6" s="1"/>
  <c r="U77" i="5"/>
  <c r="P53" i="6" s="1"/>
  <c r="T77" i="5"/>
  <c r="H53" i="6" s="1"/>
  <c r="J53" i="6" s="1"/>
  <c r="K53" i="6" s="1"/>
  <c r="O77" i="5"/>
  <c r="O76" i="5"/>
  <c r="M77" i="5"/>
  <c r="L121" i="7" s="1"/>
  <c r="J77" i="5"/>
  <c r="G76" i="5"/>
  <c r="G77" i="5"/>
  <c r="F77" i="5"/>
  <c r="G53" i="6" s="1"/>
  <c r="F76" i="5"/>
  <c r="K107" i="7"/>
  <c r="Z51" i="7" l="1"/>
  <c r="S51" i="7"/>
  <c r="Z23" i="7"/>
  <c r="S23" i="7"/>
  <c r="A99" i="16"/>
  <c r="A100" i="16" s="1"/>
  <c r="A101"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L99" i="16"/>
  <c r="L100" i="16" s="1"/>
  <c r="L101" i="16" s="1"/>
  <c r="L104" i="16" s="1"/>
  <c r="L105" i="16" s="1"/>
  <c r="L106" i="16" s="1"/>
  <c r="L107" i="16" s="1"/>
  <c r="L108" i="16" s="1"/>
  <c r="L109" i="16" s="1"/>
  <c r="L110" i="16" s="1"/>
  <c r="L111" i="16" s="1"/>
  <c r="L112" i="16" s="1"/>
  <c r="L113" i="16" s="1"/>
  <c r="L114" i="16" s="1"/>
  <c r="L115" i="16" s="1"/>
  <c r="L116" i="16" s="1"/>
  <c r="L117" i="16" s="1"/>
  <c r="L118" i="16" s="1"/>
  <c r="L119" i="16" s="1"/>
  <c r="L120" i="16" s="1"/>
  <c r="L121" i="16" s="1"/>
  <c r="L122" i="16" s="1"/>
  <c r="L123" i="16" s="1"/>
  <c r="L124" i="16" s="1"/>
  <c r="L125" i="16" s="1"/>
  <c r="L126" i="16" s="1"/>
  <c r="A33" i="16"/>
  <c r="A34" i="16" s="1"/>
  <c r="A35" i="16" s="1"/>
  <c r="A36"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L34" i="16"/>
  <c r="L35" i="16" s="1"/>
  <c r="L36" i="16" s="1"/>
  <c r="L39" i="16" s="1"/>
  <c r="L40" i="16" s="1"/>
  <c r="L41" i="16" s="1"/>
  <c r="L42" i="16" s="1"/>
  <c r="L43" i="16" s="1"/>
  <c r="L44" i="16" s="1"/>
  <c r="L45" i="16" s="1"/>
  <c r="L46" i="16" s="1"/>
  <c r="L47" i="16" s="1"/>
  <c r="L48" i="16" s="1"/>
  <c r="L49" i="16" s="1"/>
  <c r="L50" i="16" s="1"/>
  <c r="L51" i="16" s="1"/>
  <c r="L52" i="16" s="1"/>
  <c r="L53" i="16" s="1"/>
  <c r="L54" i="16" s="1"/>
  <c r="L55" i="16" s="1"/>
  <c r="L56" i="16" s="1"/>
  <c r="L57" i="16" s="1"/>
  <c r="L58" i="16" s="1"/>
  <c r="L59" i="16" s="1"/>
  <c r="L60" i="16" s="1"/>
  <c r="L61" i="16" s="1"/>
  <c r="N51" i="7"/>
  <c r="Q51" i="7"/>
  <c r="V33" i="10"/>
  <c r="B74" i="13"/>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W12" i="13"/>
  <c r="W13" i="13" s="1"/>
  <c r="W14" i="13" s="1"/>
  <c r="W74" i="13"/>
  <c r="W75" i="13" s="1"/>
  <c r="W76" i="13" s="1"/>
  <c r="W77" i="13" s="1"/>
  <c r="W78" i="13" s="1"/>
  <c r="W79" i="13" s="1"/>
  <c r="W80" i="13" s="1"/>
  <c r="W81" i="13" s="1"/>
  <c r="W82" i="13" s="1"/>
  <c r="W83" i="13" s="1"/>
  <c r="W84" i="13" s="1"/>
  <c r="W85" i="13" s="1"/>
  <c r="W86" i="13" s="1"/>
  <c r="W87" i="13" s="1"/>
  <c r="W88" i="13" s="1"/>
  <c r="W89" i="13" s="1"/>
  <c r="W90" i="13" s="1"/>
  <c r="W91" i="13" s="1"/>
  <c r="W92" i="13" s="1"/>
  <c r="W93" i="13" s="1"/>
  <c r="W94" i="13" s="1"/>
  <c r="W95" i="13" s="1"/>
  <c r="W96" i="13" s="1"/>
  <c r="W97" i="13" s="1"/>
  <c r="W98" i="13" s="1"/>
  <c r="W99" i="13" s="1"/>
  <c r="W100" i="13" s="1"/>
  <c r="W101" i="13" s="1"/>
  <c r="W102" i="13" s="1"/>
  <c r="W103" i="13" s="1"/>
  <c r="W104" i="13" s="1"/>
  <c r="W105" i="13" s="1"/>
  <c r="W106" i="13" s="1"/>
  <c r="W107" i="13" s="1"/>
  <c r="W108" i="13" s="1"/>
  <c r="W109" i="13" s="1"/>
  <c r="W110" i="13" s="1"/>
  <c r="W111" i="13" s="1"/>
  <c r="W112" i="13" s="1"/>
  <c r="W113" i="13" s="1"/>
  <c r="W114" i="13" s="1"/>
  <c r="W115" i="13" s="1"/>
  <c r="W116" i="13" s="1"/>
  <c r="W117" i="13" s="1"/>
  <c r="W118" i="13" s="1"/>
  <c r="W119" i="13" s="1"/>
  <c r="W120" i="13" s="1"/>
  <c r="W121" i="13" s="1"/>
  <c r="W122" i="13" s="1"/>
  <c r="I20" i="5"/>
  <c r="I19" i="5"/>
  <c r="I18" i="5"/>
  <c r="I77" i="5"/>
  <c r="I10" i="5"/>
  <c r="AH42" i="10"/>
  <c r="AH43" i="10"/>
  <c r="W29" i="10"/>
  <c r="W30" i="10"/>
  <c r="I14" i="5"/>
  <c r="I15" i="5"/>
  <c r="N57" i="7"/>
  <c r="N50" i="7"/>
  <c r="N32" i="7"/>
  <c r="P74" i="7"/>
  <c r="AA23" i="7"/>
  <c r="P84" i="7"/>
  <c r="P82" i="7"/>
  <c r="N53" i="6"/>
  <c r="U53" i="6"/>
  <c r="O121" i="7"/>
  <c r="K121" i="7"/>
  <c r="J121" i="7" s="1"/>
  <c r="Z77" i="5"/>
  <c r="N121" i="7"/>
  <c r="M53" i="6"/>
  <c r="L53" i="6" s="1"/>
  <c r="N47" i="7"/>
  <c r="K54" i="7"/>
  <c r="K53" i="7"/>
  <c r="C300" i="7"/>
  <c r="C299" i="7"/>
  <c r="C272" i="7"/>
  <c r="Q73" i="7"/>
  <c r="O73" i="7"/>
  <c r="N73" i="7"/>
  <c r="L73" i="7"/>
  <c r="K73" i="7"/>
  <c r="W73" i="7"/>
  <c r="W74" i="7"/>
  <c r="W72" i="7"/>
  <c r="Q72" i="7"/>
  <c r="O72" i="7"/>
  <c r="N72" i="7"/>
  <c r="L72" i="7"/>
  <c r="K72" i="7"/>
  <c r="C271" i="7"/>
  <c r="C273" i="7"/>
  <c r="U162" i="7"/>
  <c r="U161" i="7"/>
  <c r="U160" i="7"/>
  <c r="U159" i="7"/>
  <c r="U158" i="7"/>
  <c r="U157" i="7"/>
  <c r="U156" i="7"/>
  <c r="J118" i="7"/>
  <c r="F137" i="7"/>
  <c r="G131" i="7" s="1"/>
  <c r="N145" i="7"/>
  <c r="V104" i="7" s="1"/>
  <c r="C322" i="7"/>
  <c r="K202" i="7"/>
  <c r="V36" i="7" s="1"/>
  <c r="K196" i="7"/>
  <c r="X38" i="8"/>
  <c r="I41" i="5"/>
  <c r="Z41" i="5"/>
  <c r="C150" i="5"/>
  <c r="C153" i="5"/>
  <c r="C109" i="13"/>
  <c r="C108" i="13"/>
  <c r="H46" i="8"/>
  <c r="H47" i="8"/>
  <c r="H48" i="8"/>
  <c r="P46" i="8"/>
  <c r="P47" i="8"/>
  <c r="P48" i="8"/>
  <c r="Q16" i="8"/>
  <c r="Q4" i="8"/>
  <c r="Q39" i="8"/>
  <c r="X30" i="10" l="1"/>
  <c r="V34" i="10"/>
  <c r="W32" i="10"/>
  <c r="W31" i="10"/>
  <c r="X31" i="10" s="1"/>
  <c r="V51" i="7"/>
  <c r="V52" i="7"/>
  <c r="V21" i="7"/>
  <c r="V22" i="7"/>
  <c r="V19" i="7"/>
  <c r="V23" i="7"/>
  <c r="V16" i="7"/>
  <c r="V17" i="7"/>
  <c r="V18" i="7"/>
  <c r="V31" i="7"/>
  <c r="V32" i="7"/>
  <c r="V50" i="7"/>
  <c r="V49" i="7"/>
  <c r="V54" i="7"/>
  <c r="V56" i="7"/>
  <c r="V25" i="7"/>
  <c r="V24" i="7"/>
  <c r="V26" i="7"/>
  <c r="P121" i="7"/>
  <c r="P73" i="7"/>
  <c r="P72" i="7"/>
  <c r="V30" i="7"/>
  <c r="V34" i="7"/>
  <c r="V33" i="7"/>
  <c r="V35" i="7"/>
  <c r="V38" i="7"/>
  <c r="V39" i="7"/>
  <c r="U10" i="7"/>
  <c r="U11" i="7"/>
  <c r="V53" i="7"/>
  <c r="V12" i="7"/>
  <c r="V41" i="7"/>
  <c r="V40" i="7"/>
  <c r="AF104" i="7"/>
  <c r="Q17" i="8"/>
  <c r="Q18" i="8" s="1"/>
  <c r="Q19" i="8" s="1"/>
  <c r="Q20" i="8" s="1"/>
  <c r="Q21" i="8" s="1"/>
  <c r="Q22" i="8" s="1"/>
  <c r="Q23" i="8" s="1"/>
  <c r="Q24" i="8" s="1"/>
  <c r="Q25" i="8" s="1"/>
  <c r="Q26" i="8" s="1"/>
  <c r="Q27" i="8" s="1"/>
  <c r="Q28" i="8" s="1"/>
  <c r="Q29" i="8" s="1"/>
  <c r="Q30" i="8" s="1"/>
  <c r="Q31" i="8" s="1"/>
  <c r="Q32" i="8" s="1"/>
  <c r="Q33" i="8" s="1"/>
  <c r="Q34" i="8" s="1"/>
  <c r="Q35" i="8" s="1"/>
  <c r="Q36" i="8" s="1"/>
  <c r="Q37" i="8" s="1"/>
  <c r="AA16" i="8"/>
  <c r="AC16" i="8" s="1"/>
  <c r="V35" i="10" l="1"/>
  <c r="W35" i="10"/>
  <c r="X32" i="10"/>
  <c r="W33" i="10"/>
  <c r="X33" i="10" s="1"/>
  <c r="AA17" i="8"/>
  <c r="Z98" i="7"/>
  <c r="W38" i="8"/>
  <c r="X40" i="8" s="1"/>
  <c r="I17" i="8"/>
  <c r="H29" i="8"/>
  <c r="I14" i="8"/>
  <c r="P25" i="6"/>
  <c r="Y15" i="5"/>
  <c r="Y14" i="5"/>
  <c r="I18" i="8"/>
  <c r="J17" i="8"/>
  <c r="C51" i="6"/>
  <c r="C106" i="6" s="1"/>
  <c r="C119" i="7"/>
  <c r="C318" i="7" s="1"/>
  <c r="C184" i="5"/>
  <c r="R24" i="6"/>
  <c r="Q24" i="6"/>
  <c r="P24" i="6"/>
  <c r="N24" i="6"/>
  <c r="G23" i="6"/>
  <c r="M24" i="6"/>
  <c r="L24" i="6" s="1"/>
  <c r="H24" i="6"/>
  <c r="J24" i="6" s="1"/>
  <c r="C79" i="6"/>
  <c r="T22" i="7"/>
  <c r="R22" i="7"/>
  <c r="S22" i="7" s="1"/>
  <c r="L22" i="7"/>
  <c r="M22" i="7"/>
  <c r="Q22" i="7" s="1"/>
  <c r="C221" i="7"/>
  <c r="R67" i="7"/>
  <c r="S67" i="7" s="1"/>
  <c r="L67" i="7"/>
  <c r="L63" i="7"/>
  <c r="L64" i="7"/>
  <c r="Z63" i="7"/>
  <c r="AB63" i="7" s="1"/>
  <c r="Z67" i="7"/>
  <c r="Z54" i="7"/>
  <c r="AB54" i="7" s="1"/>
  <c r="AA67" i="7"/>
  <c r="AA98" i="7"/>
  <c r="AB107" i="7"/>
  <c r="AF109" i="7"/>
  <c r="AB109" i="7" s="1"/>
  <c r="AA21" i="7"/>
  <c r="AA69" i="7"/>
  <c r="AH70" i="7" s="1"/>
  <c r="Z69" i="7"/>
  <c r="Z53" i="7"/>
  <c r="AB53" i="7" s="1"/>
  <c r="C118" i="5"/>
  <c r="C154" i="5"/>
  <c r="C172" i="5"/>
  <c r="C181" i="5"/>
  <c r="W65" i="6"/>
  <c r="W66" i="6" s="1"/>
  <c r="W67" i="6" s="1"/>
  <c r="W68" i="6" s="1"/>
  <c r="W69" i="6" s="1"/>
  <c r="W70" i="6" s="1"/>
  <c r="W71" i="6" s="1"/>
  <c r="W72" i="6" s="1"/>
  <c r="W73" i="6" s="1"/>
  <c r="W10" i="6"/>
  <c r="W11" i="6" s="1"/>
  <c r="W12" i="6" s="1"/>
  <c r="B10" i="6"/>
  <c r="B11" i="6" s="1"/>
  <c r="B65" i="6"/>
  <c r="B66" i="6" s="1"/>
  <c r="B67" i="6" s="1"/>
  <c r="C212" i="7"/>
  <c r="Z104" i="7"/>
  <c r="AA104" i="7"/>
  <c r="AA31" i="7"/>
  <c r="AB31" i="7"/>
  <c r="R60" i="7"/>
  <c r="AA52" i="7"/>
  <c r="AA41" i="7"/>
  <c r="Z41" i="7"/>
  <c r="AB41" i="7" s="1"/>
  <c r="AA38" i="7"/>
  <c r="AA37" i="7"/>
  <c r="AB50" i="7"/>
  <c r="AA50" i="7"/>
  <c r="Z34" i="7"/>
  <c r="AB34" i="7" s="1"/>
  <c r="Z35" i="7"/>
  <c r="AB35" i="7" s="1"/>
  <c r="L21" i="7"/>
  <c r="M21" i="7"/>
  <c r="AB27" i="7"/>
  <c r="AE16" i="7"/>
  <c r="AE17" i="7"/>
  <c r="AB205" i="7"/>
  <c r="AB206" i="7"/>
  <c r="AB207" i="7"/>
  <c r="J70" i="7"/>
  <c r="C268" i="7"/>
  <c r="R69" i="7"/>
  <c r="Q69" i="7"/>
  <c r="O69" i="7"/>
  <c r="N69" i="7"/>
  <c r="L69" i="7"/>
  <c r="K69" i="7"/>
  <c r="Z16" i="7"/>
  <c r="Z27" i="7" s="1"/>
  <c r="S70" i="5"/>
  <c r="AA54" i="7"/>
  <c r="AA53" i="7"/>
  <c r="C220" i="7"/>
  <c r="K55" i="7"/>
  <c r="L46" i="7"/>
  <c r="K46" i="7"/>
  <c r="M46" i="7" s="1"/>
  <c r="Q46" i="7" s="1"/>
  <c r="C245" i="7"/>
  <c r="Q90" i="7"/>
  <c r="O90" i="7"/>
  <c r="N90" i="7"/>
  <c r="Q95" i="7"/>
  <c r="O95" i="7"/>
  <c r="N95" i="7"/>
  <c r="L90" i="7"/>
  <c r="L95" i="7"/>
  <c r="K90" i="7"/>
  <c r="K95" i="7"/>
  <c r="C289" i="7"/>
  <c r="V36" i="10" l="1"/>
  <c r="W36" i="10" s="1"/>
  <c r="X36" i="10" s="1"/>
  <c r="H18" i="8"/>
  <c r="B68" i="6"/>
  <c r="B69" i="6" s="1"/>
  <c r="W13" i="6"/>
  <c r="W14" i="6" s="1"/>
  <c r="AA22" i="7"/>
  <c r="Z22" i="7"/>
  <c r="Z26" i="7"/>
  <c r="Z25" i="7"/>
  <c r="Z24" i="7"/>
  <c r="P90" i="7"/>
  <c r="G17" i="8"/>
  <c r="AC17" i="8"/>
  <c r="AA18" i="8"/>
  <c r="E17" i="8"/>
  <c r="F17" i="8"/>
  <c r="P69" i="7"/>
  <c r="N22" i="7"/>
  <c r="AB67" i="7"/>
  <c r="AB69" i="7"/>
  <c r="Z70" i="7"/>
  <c r="N21" i="7"/>
  <c r="AA35" i="7"/>
  <c r="N46" i="7"/>
  <c r="L41" i="7"/>
  <c r="C240" i="7"/>
  <c r="K41" i="7"/>
  <c r="M41" i="7" s="1"/>
  <c r="Q41" i="7" s="1"/>
  <c r="L20" i="7"/>
  <c r="W18" i="7"/>
  <c r="L18" i="7"/>
  <c r="M20" i="7"/>
  <c r="Q20" i="7" s="1"/>
  <c r="M18" i="7"/>
  <c r="C219" i="7"/>
  <c r="C217" i="7"/>
  <c r="H205" i="7"/>
  <c r="H206" i="7"/>
  <c r="H207" i="7"/>
  <c r="M54" i="7"/>
  <c r="L55" i="7"/>
  <c r="M55" i="7"/>
  <c r="C254" i="7"/>
  <c r="Q92" i="7"/>
  <c r="O92" i="7"/>
  <c r="N92" i="7"/>
  <c r="L92" i="7"/>
  <c r="K92" i="7"/>
  <c r="W53" i="7"/>
  <c r="L52" i="7"/>
  <c r="M52" i="7"/>
  <c r="Q52" i="7" s="1"/>
  <c r="R52" i="7"/>
  <c r="S52" i="7" s="1"/>
  <c r="C251" i="7"/>
  <c r="M53" i="7"/>
  <c r="L54" i="7"/>
  <c r="L53" i="7"/>
  <c r="Y13" i="5"/>
  <c r="Z13" i="5"/>
  <c r="I13" i="5"/>
  <c r="W15" i="6" l="1"/>
  <c r="W16" i="6" s="1"/>
  <c r="W17" i="6" s="1"/>
  <c r="W18" i="6" s="1"/>
  <c r="W19" i="6" s="1"/>
  <c r="W20" i="6" s="1"/>
  <c r="W21" i="6" s="1"/>
  <c r="W22" i="6" s="1"/>
  <c r="W23" i="6" s="1"/>
  <c r="W24" i="6" s="1"/>
  <c r="W25" i="6" s="1"/>
  <c r="W26" i="6" s="1"/>
  <c r="W27" i="6" s="1"/>
  <c r="W28" i="6" s="1"/>
  <c r="W29" i="6" s="1"/>
  <c r="W30" i="6" s="1"/>
  <c r="W31" i="6" s="1"/>
  <c r="W32" i="6" s="1"/>
  <c r="B70" i="6"/>
  <c r="B71" i="6" s="1"/>
  <c r="B72" i="6" s="1"/>
  <c r="B73" i="6" s="1"/>
  <c r="B74" i="6" s="1"/>
  <c r="B75" i="6" s="1"/>
  <c r="B76" i="6" s="1"/>
  <c r="B77" i="6" s="1"/>
  <c r="B78" i="6" s="1"/>
  <c r="B79" i="6" s="1"/>
  <c r="B80" i="6" s="1"/>
  <c r="B81" i="6" s="1"/>
  <c r="B82" i="6" s="1"/>
  <c r="B83" i="6" s="1"/>
  <c r="B84" i="6" s="1"/>
  <c r="B85" i="6" s="1"/>
  <c r="B86" i="6" s="1"/>
  <c r="B87" i="6" s="1"/>
  <c r="N54" i="7"/>
  <c r="Q54" i="7"/>
  <c r="N53" i="7"/>
  <c r="Q53" i="7"/>
  <c r="V37" i="10"/>
  <c r="W37" i="10"/>
  <c r="X37" i="10" s="1"/>
  <c r="V10" i="10"/>
  <c r="V9" i="10"/>
  <c r="W34" i="10"/>
  <c r="X35" i="10" s="1"/>
  <c r="AA19" i="8"/>
  <c r="AC18" i="8"/>
  <c r="AA70" i="7"/>
  <c r="AB52" i="7"/>
  <c r="N41" i="7"/>
  <c r="N18" i="7"/>
  <c r="N20" i="7"/>
  <c r="N55" i="7"/>
  <c r="N52" i="7"/>
  <c r="C122" i="5"/>
  <c r="C252" i="7"/>
  <c r="Q96" i="7"/>
  <c r="O96" i="7"/>
  <c r="N96" i="7"/>
  <c r="L96" i="7"/>
  <c r="K96" i="7"/>
  <c r="Z49" i="5"/>
  <c r="C158" i="5"/>
  <c r="C295" i="7"/>
  <c r="B88" i="6" l="1"/>
  <c r="B91" i="6" s="1"/>
  <c r="B92" i="6" s="1"/>
  <c r="B93" i="6" s="1"/>
  <c r="B94" i="6" s="1"/>
  <c r="B95" i="6" s="1"/>
  <c r="B96" i="6" s="1"/>
  <c r="B97" i="6" s="1"/>
  <c r="B98" i="6" s="1"/>
  <c r="B99" i="6" s="1"/>
  <c r="B100" i="6" s="1"/>
  <c r="B101" i="6" s="1"/>
  <c r="B102" i="6" s="1"/>
  <c r="B103" i="6" s="1"/>
  <c r="B104" i="6" s="1"/>
  <c r="B105" i="6" s="1"/>
  <c r="B106" i="6" s="1"/>
  <c r="B107" i="6" s="1"/>
  <c r="B108" i="6" s="1"/>
  <c r="B109" i="6" s="1"/>
  <c r="W33" i="6"/>
  <c r="V38" i="10"/>
  <c r="W38" i="10"/>
  <c r="X38" i="10" s="1"/>
  <c r="X34" i="10"/>
  <c r="AA20" i="8"/>
  <c r="AC19" i="8"/>
  <c r="P96" i="7"/>
  <c r="P95" i="7"/>
  <c r="C294" i="7"/>
  <c r="C98" i="13"/>
  <c r="C111" i="13"/>
  <c r="N118" i="7"/>
  <c r="C84" i="13"/>
  <c r="N107" i="7"/>
  <c r="AF115" i="7"/>
  <c r="AB115" i="7" s="1"/>
  <c r="AF116" i="7"/>
  <c r="AB116" i="7" s="1"/>
  <c r="N116" i="7"/>
  <c r="N115" i="7"/>
  <c r="N114" i="7"/>
  <c r="AH118" i="7"/>
  <c r="AF118" i="7" s="1"/>
  <c r="AB118" i="7" s="1"/>
  <c r="C317" i="7"/>
  <c r="D160" i="7"/>
  <c r="C160" i="7" s="1"/>
  <c r="O118" i="7" s="1"/>
  <c r="C314" i="7"/>
  <c r="C315" i="7"/>
  <c r="C158" i="7"/>
  <c r="O116" i="7" s="1"/>
  <c r="C157" i="7"/>
  <c r="O115" i="7" s="1"/>
  <c r="W54" i="7"/>
  <c r="W46" i="7" s="1"/>
  <c r="C253" i="7"/>
  <c r="B76" i="16"/>
  <c r="K73" i="16"/>
  <c r="B79" i="16"/>
  <c r="B78" i="16"/>
  <c r="B80" i="16"/>
  <c r="B88" i="16"/>
  <c r="B98" i="16"/>
  <c r="B104" i="16"/>
  <c r="B105" i="16"/>
  <c r="B106" i="16"/>
  <c r="B107" i="16"/>
  <c r="B108" i="16"/>
  <c r="B109" i="16"/>
  <c r="B110" i="16"/>
  <c r="B111" i="16"/>
  <c r="B96" i="16"/>
  <c r="B97" i="16"/>
  <c r="B95" i="16"/>
  <c r="C76" i="6"/>
  <c r="C133" i="5"/>
  <c r="G24" i="5"/>
  <c r="L104" i="7"/>
  <c r="M27" i="7"/>
  <c r="Q27" i="7" s="1"/>
  <c r="M65" i="7"/>
  <c r="N62" i="7"/>
  <c r="N77" i="7"/>
  <c r="O70" i="7"/>
  <c r="O77" i="7"/>
  <c r="O80" i="7"/>
  <c r="L24" i="7"/>
  <c r="J107" i="7"/>
  <c r="B10" i="15"/>
  <c r="B11" i="15" s="1"/>
  <c r="B12" i="15" s="1"/>
  <c r="J10" i="15"/>
  <c r="J11" i="15"/>
  <c r="J12" i="15" s="1"/>
  <c r="J15" i="15" s="1"/>
  <c r="J16" i="15" s="1"/>
  <c r="J36" i="15"/>
  <c r="J37" i="15" s="1"/>
  <c r="J38" i="15" s="1"/>
  <c r="B36" i="15"/>
  <c r="B37" i="15" s="1"/>
  <c r="B38" i="15" s="1"/>
  <c r="X76" i="5"/>
  <c r="W76" i="5"/>
  <c r="V76" i="5"/>
  <c r="U76" i="5"/>
  <c r="T76" i="5"/>
  <c r="J76" i="5"/>
  <c r="M76" i="5"/>
  <c r="L120" i="7" s="1"/>
  <c r="B84" i="16"/>
  <c r="T69" i="13"/>
  <c r="T70" i="13"/>
  <c r="T71" i="13"/>
  <c r="Y30" i="5"/>
  <c r="O17" i="5"/>
  <c r="C131" i="5"/>
  <c r="C74" i="6"/>
  <c r="S69" i="13"/>
  <c r="S70" i="13"/>
  <c r="S71" i="13"/>
  <c r="C85" i="13"/>
  <c r="C48" i="15"/>
  <c r="C47" i="15"/>
  <c r="L50" i="7"/>
  <c r="L51" i="7"/>
  <c r="L49" i="7"/>
  <c r="I80" i="7"/>
  <c r="L99" i="7"/>
  <c r="K99" i="7"/>
  <c r="M99" i="7" s="1"/>
  <c r="E206" i="7"/>
  <c r="I207" i="7"/>
  <c r="I205" i="7"/>
  <c r="I206" i="7"/>
  <c r="W60" i="7"/>
  <c r="W51" i="7"/>
  <c r="W50" i="7"/>
  <c r="W31" i="7"/>
  <c r="W30" i="7"/>
  <c r="L29" i="7"/>
  <c r="K29" i="7"/>
  <c r="M29" i="7" s="1"/>
  <c r="C228" i="7"/>
  <c r="L31" i="7"/>
  <c r="L30" i="7"/>
  <c r="K31" i="7"/>
  <c r="M31" i="7" s="1"/>
  <c r="Q31" i="7" s="1"/>
  <c r="C230" i="7"/>
  <c r="B125" i="16"/>
  <c r="B122" i="16"/>
  <c r="B123" i="16"/>
  <c r="B124" i="16"/>
  <c r="B83" i="16"/>
  <c r="B116" i="16"/>
  <c r="A1" i="17"/>
  <c r="C74" i="16"/>
  <c r="J73" i="16"/>
  <c r="C73" i="16"/>
  <c r="E33" i="15"/>
  <c r="E32" i="15"/>
  <c r="B120" i="16"/>
  <c r="B117" i="16"/>
  <c r="B82" i="16"/>
  <c r="B115" i="16"/>
  <c r="B121" i="16"/>
  <c r="B114" i="16"/>
  <c r="A1" i="16"/>
  <c r="F71" i="13"/>
  <c r="W65" i="7"/>
  <c r="L65" i="7"/>
  <c r="C264" i="7"/>
  <c r="C86" i="13"/>
  <c r="P55" i="5"/>
  <c r="J55" i="5"/>
  <c r="M55" i="5"/>
  <c r="M48" i="5"/>
  <c r="C171" i="5"/>
  <c r="C170" i="5"/>
  <c r="O48" i="5"/>
  <c r="C303" i="7"/>
  <c r="Y70" i="5"/>
  <c r="Y69" i="5"/>
  <c r="Z70" i="5"/>
  <c r="Z69" i="5"/>
  <c r="C179" i="5"/>
  <c r="I70" i="5"/>
  <c r="W34" i="6" l="1"/>
  <c r="W35" i="6" s="1"/>
  <c r="W36" i="6" s="1"/>
  <c r="W37" i="6" s="1"/>
  <c r="W38" i="6" s="1"/>
  <c r="W39" i="6" s="1"/>
  <c r="W40" i="6" s="1"/>
  <c r="W41" i="6" s="1"/>
  <c r="W42" i="6" s="1"/>
  <c r="W43" i="6" s="1"/>
  <c r="W44" i="6" s="1"/>
  <c r="W45" i="6" s="1"/>
  <c r="W46" i="6" s="1"/>
  <c r="W47" i="6" s="1"/>
  <c r="W48" i="6" s="1"/>
  <c r="W49" i="6" s="1"/>
  <c r="W50" i="6" s="1"/>
  <c r="W51" i="6" s="1"/>
  <c r="W52" i="6" s="1"/>
  <c r="W53" i="6" s="1"/>
  <c r="W54" i="6" s="1"/>
  <c r="N29" i="7"/>
  <c r="Q29" i="7"/>
  <c r="V39" i="10"/>
  <c r="I76" i="5"/>
  <c r="W10" i="10"/>
  <c r="AA21" i="8"/>
  <c r="AC20" i="8"/>
  <c r="P118" i="7"/>
  <c r="J115" i="7"/>
  <c r="AE115" i="7" s="1"/>
  <c r="P116" i="7"/>
  <c r="Z118" i="7"/>
  <c r="P115" i="7"/>
  <c r="Z115" i="7"/>
  <c r="Z116" i="7" s="1"/>
  <c r="AE117" i="7"/>
  <c r="AE118" i="7"/>
  <c r="J116" i="7"/>
  <c r="Z76" i="5"/>
  <c r="N31" i="7"/>
  <c r="N65" i="7"/>
  <c r="N99" i="7"/>
  <c r="Z107" i="7"/>
  <c r="Z108" i="7" s="1"/>
  <c r="V129" i="7"/>
  <c r="T129" i="7" s="1"/>
  <c r="C328" i="7"/>
  <c r="AF111" i="7"/>
  <c r="AB111" i="7" s="1"/>
  <c r="AF110" i="7"/>
  <c r="AB110" i="7" s="1"/>
  <c r="N111" i="7"/>
  <c r="N110" i="7"/>
  <c r="C310" i="7"/>
  <c r="E111" i="7"/>
  <c r="C153" i="7"/>
  <c r="O111" i="7" s="1"/>
  <c r="C152" i="7"/>
  <c r="G159" i="7"/>
  <c r="N117" i="7" s="1"/>
  <c r="C91" i="13"/>
  <c r="C97" i="13"/>
  <c r="C117" i="13"/>
  <c r="Q69" i="13"/>
  <c r="Q70" i="13"/>
  <c r="Q71" i="13"/>
  <c r="C107" i="13"/>
  <c r="C95" i="13"/>
  <c r="C93" i="13"/>
  <c r="Z53" i="5"/>
  <c r="C162" i="5"/>
  <c r="W39" i="10" l="1"/>
  <c r="X39" i="10" s="1"/>
  <c r="AA22" i="8"/>
  <c r="AC21" i="8"/>
  <c r="Z111" i="7"/>
  <c r="P111" i="7"/>
  <c r="Z110" i="7"/>
  <c r="C161" i="5"/>
  <c r="Z52" i="5"/>
  <c r="Z50" i="5"/>
  <c r="Z51" i="5"/>
  <c r="C160" i="5"/>
  <c r="C90" i="13"/>
  <c r="Z99" i="7"/>
  <c r="Z62" i="7"/>
  <c r="Z60" i="7"/>
  <c r="AB60" i="7" s="1"/>
  <c r="Z39" i="7"/>
  <c r="Z38" i="7"/>
  <c r="AB38" i="7" s="1"/>
  <c r="Z37" i="7"/>
  <c r="AB37" i="7" s="1"/>
  <c r="N109" i="7"/>
  <c r="N108" i="7"/>
  <c r="Z14" i="7"/>
  <c r="Z12" i="7"/>
  <c r="AB12" i="7" s="1"/>
  <c r="Z11" i="7"/>
  <c r="Z10" i="7"/>
  <c r="C261" i="7"/>
  <c r="Z205" i="7"/>
  <c r="Z206" i="7"/>
  <c r="Z207" i="7"/>
  <c r="AA23" i="8" l="1"/>
  <c r="AC22" i="8"/>
  <c r="AA27" i="8"/>
  <c r="AA60" i="7"/>
  <c r="AA39" i="7"/>
  <c r="AB39" i="7"/>
  <c r="C115" i="13"/>
  <c r="C106" i="13"/>
  <c r="AH117" i="7"/>
  <c r="AF117" i="7" s="1"/>
  <c r="AF114" i="7"/>
  <c r="AB114" i="7" s="1"/>
  <c r="AF113" i="7"/>
  <c r="AB113" i="7" s="1"/>
  <c r="AF112" i="7"/>
  <c r="AB112" i="7" s="1"/>
  <c r="AF108" i="7"/>
  <c r="AB108" i="7" s="1"/>
  <c r="Z109" i="7"/>
  <c r="C39" i="15"/>
  <c r="K124" i="7"/>
  <c r="C159" i="7"/>
  <c r="O117" i="7" s="1"/>
  <c r="P117" i="7" s="1"/>
  <c r="C156" i="7"/>
  <c r="O114" i="7" s="1"/>
  <c r="C116" i="13"/>
  <c r="C92" i="13"/>
  <c r="C96" i="13"/>
  <c r="C94" i="13"/>
  <c r="C43" i="15"/>
  <c r="A2" i="5"/>
  <c r="A2" i="15" s="1"/>
  <c r="C46" i="15"/>
  <c r="C42" i="15"/>
  <c r="C36" i="15"/>
  <c r="C38" i="15"/>
  <c r="C37" i="15"/>
  <c r="C35" i="15"/>
  <c r="I34" i="15"/>
  <c r="G34" i="15"/>
  <c r="I33" i="15"/>
  <c r="H33" i="15"/>
  <c r="G33" i="15"/>
  <c r="I32" i="15"/>
  <c r="H32" i="15"/>
  <c r="G32" i="15"/>
  <c r="F32" i="15"/>
  <c r="D32" i="15"/>
  <c r="A3" i="15"/>
  <c r="A1" i="15"/>
  <c r="C291" i="7"/>
  <c r="C280" i="7"/>
  <c r="T124" i="7" l="1"/>
  <c r="AA24" i="8"/>
  <c r="AC23" i="8"/>
  <c r="Z117" i="7"/>
  <c r="AB117" i="7"/>
  <c r="B41" i="15"/>
  <c r="B42" i="15" s="1"/>
  <c r="B43" i="15" s="1"/>
  <c r="B44" i="15" s="1"/>
  <c r="B45" i="15" s="1"/>
  <c r="B46" i="15" s="1"/>
  <c r="B47" i="15" s="1"/>
  <c r="B48" i="15" s="1"/>
  <c r="B49" i="15" s="1"/>
  <c r="B50" i="15" s="1"/>
  <c r="B51" i="15" s="1"/>
  <c r="B52" i="15" s="1"/>
  <c r="J42" i="15"/>
  <c r="J43" i="15" s="1"/>
  <c r="J44" i="15" s="1"/>
  <c r="J45" i="15" s="1"/>
  <c r="J46" i="15" s="1"/>
  <c r="J47" i="15" s="1"/>
  <c r="J48" i="15" s="1"/>
  <c r="J49" i="15" s="1"/>
  <c r="J50" i="15" s="1"/>
  <c r="J51" i="15" s="1"/>
  <c r="J52" i="15" s="1"/>
  <c r="J17" i="15"/>
  <c r="J18" i="15" s="1"/>
  <c r="J19" i="15" s="1"/>
  <c r="J20" i="15" s="1"/>
  <c r="J21" i="15" s="1"/>
  <c r="J22" i="15" s="1"/>
  <c r="J23" i="15" s="1"/>
  <c r="J24" i="15" s="1"/>
  <c r="J25" i="15" s="1"/>
  <c r="J26" i="15" s="1"/>
  <c r="P92" i="7"/>
  <c r="P81" i="7"/>
  <c r="P114" i="7"/>
  <c r="Q80" i="7"/>
  <c r="R80" i="7"/>
  <c r="R70" i="7"/>
  <c r="AB70" i="7" s="1"/>
  <c r="K80" i="7"/>
  <c r="C279" i="7"/>
  <c r="C270" i="7"/>
  <c r="C267" i="7"/>
  <c r="C148" i="5"/>
  <c r="I39" i="5"/>
  <c r="C167" i="5"/>
  <c r="C169" i="5"/>
  <c r="C159" i="5"/>
  <c r="H115" i="5"/>
  <c r="H116" i="5"/>
  <c r="H117" i="5"/>
  <c r="C165" i="5"/>
  <c r="C166" i="5"/>
  <c r="Z56" i="5"/>
  <c r="Y56" i="5"/>
  <c r="C78" i="13"/>
  <c r="C81" i="13"/>
  <c r="C79" i="13"/>
  <c r="C82" i="13"/>
  <c r="C83" i="13"/>
  <c r="C87" i="13"/>
  <c r="C89" i="13"/>
  <c r="C102" i="13"/>
  <c r="C110" i="13"/>
  <c r="C113" i="13"/>
  <c r="C114" i="13"/>
  <c r="O69" i="13"/>
  <c r="O70" i="13"/>
  <c r="O71" i="13"/>
  <c r="D69" i="13"/>
  <c r="E69" i="13"/>
  <c r="D70" i="13"/>
  <c r="E70" i="13"/>
  <c r="D71" i="13"/>
  <c r="E71" i="13"/>
  <c r="N69" i="13"/>
  <c r="N70" i="13"/>
  <c r="N71" i="13"/>
  <c r="C121" i="13"/>
  <c r="C105" i="13"/>
  <c r="C80" i="13"/>
  <c r="C104" i="13"/>
  <c r="C103" i="13"/>
  <c r="C316" i="7"/>
  <c r="S107" i="7"/>
  <c r="S108" i="7" s="1"/>
  <c r="C249" i="7"/>
  <c r="R205" i="7"/>
  <c r="S205" i="7"/>
  <c r="R206" i="7"/>
  <c r="S206" i="7"/>
  <c r="R207" i="7"/>
  <c r="S207" i="7"/>
  <c r="C250" i="7"/>
  <c r="S34" i="5"/>
  <c r="I36" i="5"/>
  <c r="C145" i="5"/>
  <c r="A1" i="13"/>
  <c r="A1" i="14"/>
  <c r="E13" i="14"/>
  <c r="E10" i="14"/>
  <c r="E136" i="7"/>
  <c r="E135" i="7"/>
  <c r="E133" i="7"/>
  <c r="K143" i="7"/>
  <c r="K142" i="7"/>
  <c r="N113" i="7"/>
  <c r="Z113" i="7" s="1"/>
  <c r="Z114" i="7" s="1"/>
  <c r="N112" i="7"/>
  <c r="Z112" i="7" s="1"/>
  <c r="W74" i="6"/>
  <c r="W75" i="6" s="1"/>
  <c r="W76" i="6" s="1"/>
  <c r="W77" i="6" s="1"/>
  <c r="W78" i="6" s="1"/>
  <c r="W79" i="6" s="1"/>
  <c r="W80" i="6" s="1"/>
  <c r="W81" i="6" s="1"/>
  <c r="W82" i="6" s="1"/>
  <c r="W83" i="6" s="1"/>
  <c r="W84" i="6" s="1"/>
  <c r="W85" i="6" s="1"/>
  <c r="W86" i="6" s="1"/>
  <c r="W87" i="6" s="1"/>
  <c r="B12" i="6"/>
  <c r="C312" i="7"/>
  <c r="C313" i="7"/>
  <c r="C155" i="7"/>
  <c r="O113" i="7" s="1"/>
  <c r="C149" i="7"/>
  <c r="L126" i="7"/>
  <c r="K126" i="7"/>
  <c r="G52" i="6"/>
  <c r="C327" i="7"/>
  <c r="C223" i="7"/>
  <c r="M17" i="7"/>
  <c r="Q17" i="7" s="1"/>
  <c r="AF15" i="7"/>
  <c r="AF12" i="7"/>
  <c r="T19" i="7"/>
  <c r="L19" i="7"/>
  <c r="AI16" i="7"/>
  <c r="AF16" i="7"/>
  <c r="AF11" i="7"/>
  <c r="N16" i="7"/>
  <c r="N27" i="7" s="1"/>
  <c r="C218" i="7"/>
  <c r="F70" i="13"/>
  <c r="C120" i="13"/>
  <c r="C119" i="13"/>
  <c r="C101" i="13"/>
  <c r="C100" i="13"/>
  <c r="A3" i="13"/>
  <c r="A3" i="3"/>
  <c r="A3" i="2"/>
  <c r="A3" i="11"/>
  <c r="A3" i="10"/>
  <c r="A3" i="8"/>
  <c r="A3" i="6"/>
  <c r="A3" i="5"/>
  <c r="W88" i="6" l="1"/>
  <c r="W92" i="6" s="1"/>
  <c r="W93" i="6" s="1"/>
  <c r="W94" i="6" s="1"/>
  <c r="W95" i="6" s="1"/>
  <c r="W96" i="6" s="1"/>
  <c r="W97" i="6" s="1"/>
  <c r="W98" i="6" s="1"/>
  <c r="W99" i="6" s="1"/>
  <c r="W100" i="6" s="1"/>
  <c r="W101" i="6" s="1"/>
  <c r="W102" i="6" s="1"/>
  <c r="W103" i="6" s="1"/>
  <c r="W104" i="6" s="1"/>
  <c r="W105" i="6" s="1"/>
  <c r="W106" i="6" s="1"/>
  <c r="W107" i="6" s="1"/>
  <c r="W108" i="6" s="1"/>
  <c r="W109" i="6" s="1"/>
  <c r="B13" i="6"/>
  <c r="B14" i="6" s="1"/>
  <c r="B15" i="6" s="1"/>
  <c r="B16" i="6" s="1"/>
  <c r="B17" i="6" s="1"/>
  <c r="B18" i="6" s="1"/>
  <c r="B19" i="6" s="1"/>
  <c r="B20" i="6" s="1"/>
  <c r="B21" i="6" s="1"/>
  <c r="B22" i="6" s="1"/>
  <c r="B23" i="6" s="1"/>
  <c r="B24" i="6" s="1"/>
  <c r="B25" i="6" s="1"/>
  <c r="B26" i="6" s="1"/>
  <c r="B27" i="6" s="1"/>
  <c r="B28" i="6" s="1"/>
  <c r="B29" i="6" s="1"/>
  <c r="B30" i="6" s="1"/>
  <c r="B31" i="6" s="1"/>
  <c r="B32" i="6" s="1"/>
  <c r="AA25" i="8"/>
  <c r="AC25" i="8" s="1"/>
  <c r="AC24" i="8"/>
  <c r="AA51" i="7"/>
  <c r="K111" i="7"/>
  <c r="K118" i="7"/>
  <c r="K116" i="7"/>
  <c r="K115" i="7"/>
  <c r="K117" i="7"/>
  <c r="K114" i="7"/>
  <c r="P113" i="7"/>
  <c r="K113" i="7"/>
  <c r="E134" i="7"/>
  <c r="M19" i="7"/>
  <c r="Q19" i="7" s="1"/>
  <c r="AF17" i="7"/>
  <c r="N17" i="7"/>
  <c r="C77" i="13"/>
  <c r="C76" i="13"/>
  <c r="U71" i="13"/>
  <c r="P71" i="13"/>
  <c r="U70" i="13"/>
  <c r="P70" i="13"/>
  <c r="U69" i="13"/>
  <c r="P69" i="13"/>
  <c r="H69" i="13"/>
  <c r="G69" i="13"/>
  <c r="F69" i="13"/>
  <c r="W15" i="13"/>
  <c r="W16" i="13" s="1"/>
  <c r="W17" i="13" s="1"/>
  <c r="W18" i="13" s="1"/>
  <c r="W19" i="13" s="1"/>
  <c r="W20" i="13" s="1"/>
  <c r="W21" i="13" s="1"/>
  <c r="W22" i="13" s="1"/>
  <c r="W23" i="13" s="1"/>
  <c r="W24" i="13" s="1"/>
  <c r="W25" i="13" s="1"/>
  <c r="W26" i="13" s="1"/>
  <c r="W27" i="13" s="1"/>
  <c r="W28" i="13" s="1"/>
  <c r="W29" i="13" s="1"/>
  <c r="W30" i="13" s="1"/>
  <c r="W31" i="13" s="1"/>
  <c r="W32" i="13" s="1"/>
  <c r="W33" i="13" s="1"/>
  <c r="W34" i="13" s="1"/>
  <c r="W35" i="13" s="1"/>
  <c r="W36" i="13" s="1"/>
  <c r="W37" i="13" s="1"/>
  <c r="W38" i="13" s="1"/>
  <c r="W39" i="13" s="1"/>
  <c r="W40" i="13" s="1"/>
  <c r="W41" i="13" s="1"/>
  <c r="W42" i="13" s="1"/>
  <c r="W43" i="13" s="1"/>
  <c r="W44" i="13" s="1"/>
  <c r="W45" i="13" s="1"/>
  <c r="W46" i="13" s="1"/>
  <c r="W47" i="13" s="1"/>
  <c r="W48" i="13" s="1"/>
  <c r="W49" i="13" s="1"/>
  <c r="W50" i="13" s="1"/>
  <c r="W51" i="13" s="1"/>
  <c r="W52" i="13" s="1"/>
  <c r="W53" i="13" s="1"/>
  <c r="W54" i="13" s="1"/>
  <c r="W55" i="13" s="1"/>
  <c r="W56" i="13" s="1"/>
  <c r="W57" i="13" s="1"/>
  <c r="W58" i="13" s="1"/>
  <c r="W59" i="13" s="1"/>
  <c r="W60" i="13" s="1"/>
  <c r="B15" i="13"/>
  <c r="A2" i="13"/>
  <c r="K10" i="7"/>
  <c r="M10" i="7" s="1"/>
  <c r="K11" i="7"/>
  <c r="M11" i="7" s="1"/>
  <c r="L11" i="7"/>
  <c r="L10" i="7"/>
  <c r="W10" i="7"/>
  <c r="W11" i="7"/>
  <c r="AC10" i="7"/>
  <c r="AC11" i="7" s="1"/>
  <c r="AC12" i="7" s="1"/>
  <c r="AC13" i="7" s="1"/>
  <c r="AC14" i="7" s="1"/>
  <c r="B10" i="7"/>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AC209" i="7"/>
  <c r="AC210" i="7" s="1"/>
  <c r="AC211" i="7" s="1"/>
  <c r="B209" i="7"/>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C209" i="7"/>
  <c r="C210" i="7"/>
  <c r="Z130" i="7"/>
  <c r="K195" i="7"/>
  <c r="K194" i="7" s="1"/>
  <c r="P78" i="5"/>
  <c r="J54" i="6"/>
  <c r="K54" i="6" s="1"/>
  <c r="F52" i="6"/>
  <c r="F54" i="6"/>
  <c r="E54" i="6"/>
  <c r="C54" i="6"/>
  <c r="M78" i="5"/>
  <c r="N54" i="6" s="1"/>
  <c r="J78" i="5"/>
  <c r="M54" i="6" s="1"/>
  <c r="D122" i="7"/>
  <c r="C122" i="7"/>
  <c r="C321" i="7" s="1"/>
  <c r="E122" i="7"/>
  <c r="C187" i="5"/>
  <c r="E120" i="7"/>
  <c r="K122" i="7"/>
  <c r="L122" i="7"/>
  <c r="Q46" i="8"/>
  <c r="R46" i="8"/>
  <c r="Q47" i="8"/>
  <c r="R47" i="8"/>
  <c r="Q48" i="8"/>
  <c r="R48" i="8"/>
  <c r="C54" i="8"/>
  <c r="C55" i="8"/>
  <c r="C56" i="8"/>
  <c r="C48" i="8" s="1"/>
  <c r="C57" i="8"/>
  <c r="C58" i="8"/>
  <c r="C53" i="8"/>
  <c r="C61" i="8"/>
  <c r="P15" i="5"/>
  <c r="O25" i="6" s="1"/>
  <c r="F13" i="10"/>
  <c r="C13" i="10"/>
  <c r="D16" i="10"/>
  <c r="D17" i="10" s="1"/>
  <c r="D18" i="10" s="1"/>
  <c r="D19" i="10" s="1"/>
  <c r="D20" i="10" s="1"/>
  <c r="D21" i="10" s="1"/>
  <c r="D22" i="10" s="1"/>
  <c r="D23" i="10" s="1"/>
  <c r="D24" i="10" s="1"/>
  <c r="D25" i="10" s="1"/>
  <c r="D26" i="10" s="1"/>
  <c r="D27" i="10" s="1"/>
  <c r="D28" i="10" s="1"/>
  <c r="D29" i="10" s="1"/>
  <c r="D30" i="10" s="1"/>
  <c r="D31" i="10" s="1"/>
  <c r="D32" i="10" s="1"/>
  <c r="D33" i="10" s="1"/>
  <c r="D34" i="10" s="1"/>
  <c r="D35" i="10" s="1"/>
  <c r="D36" i="10" s="1"/>
  <c r="D37" i="10" s="1"/>
  <c r="D38" i="10" s="1"/>
  <c r="D39" i="10" s="1"/>
  <c r="O47" i="6"/>
  <c r="O46" i="6"/>
  <c r="Q108" i="7"/>
  <c r="P73" i="5"/>
  <c r="Q77" i="7"/>
  <c r="Q70" i="7"/>
  <c r="Q205" i="7"/>
  <c r="Q206" i="7"/>
  <c r="Q207" i="7"/>
  <c r="P10" i="5"/>
  <c r="Q26" i="7"/>
  <c r="Z40" i="10" s="1"/>
  <c r="L103" i="7"/>
  <c r="L12" i="7"/>
  <c r="L102" i="7"/>
  <c r="L98" i="7"/>
  <c r="L35" i="7"/>
  <c r="L34" i="7"/>
  <c r="K14" i="7"/>
  <c r="M14" i="7" s="1"/>
  <c r="Q14" i="7" s="1"/>
  <c r="M205" i="7"/>
  <c r="M206" i="7"/>
  <c r="M207" i="7"/>
  <c r="W66" i="7"/>
  <c r="V66" i="7"/>
  <c r="V64" i="7"/>
  <c r="L66" i="7"/>
  <c r="J66" i="7"/>
  <c r="C265" i="7"/>
  <c r="K60" i="7"/>
  <c r="M60" i="7" s="1"/>
  <c r="Q60" i="7" s="1"/>
  <c r="L125" i="7"/>
  <c r="C239" i="7"/>
  <c r="L39" i="7"/>
  <c r="L40" i="7"/>
  <c r="L17" i="7"/>
  <c r="K40" i="7"/>
  <c r="M40" i="7" s="1"/>
  <c r="N40" i="7" s="1"/>
  <c r="F47" i="6"/>
  <c r="C99" i="6"/>
  <c r="C64" i="6"/>
  <c r="E50" i="6"/>
  <c r="D50" i="6"/>
  <c r="C50" i="6"/>
  <c r="R74" i="5"/>
  <c r="R73" i="5"/>
  <c r="Q80" i="5"/>
  <c r="E73" i="5"/>
  <c r="D74" i="5"/>
  <c r="C74" i="5"/>
  <c r="C309" i="7"/>
  <c r="O110" i="7"/>
  <c r="H50" i="6" s="1"/>
  <c r="K125" i="7"/>
  <c r="C324" i="7"/>
  <c r="C325" i="7"/>
  <c r="C326" i="7"/>
  <c r="AA135" i="7"/>
  <c r="V151" i="7"/>
  <c r="V152" i="7" s="1"/>
  <c r="J130" i="7"/>
  <c r="AA136" i="7"/>
  <c r="C154" i="7"/>
  <c r="O112" i="7" s="1"/>
  <c r="C151" i="7"/>
  <c r="O109" i="7" s="1"/>
  <c r="C150" i="7"/>
  <c r="O108" i="7" s="1"/>
  <c r="C311" i="7"/>
  <c r="K103" i="7"/>
  <c r="M103" i="7" s="1"/>
  <c r="K102" i="7"/>
  <c r="C296" i="7"/>
  <c r="C260" i="7"/>
  <c r="C208" i="7"/>
  <c r="J98" i="7"/>
  <c r="AA8" i="2"/>
  <c r="R8" i="2"/>
  <c r="Q19" i="2" s="1"/>
  <c r="L52" i="2"/>
  <c r="L53" i="2"/>
  <c r="L54" i="2"/>
  <c r="K54" i="2"/>
  <c r="K53" i="2"/>
  <c r="K52" i="2"/>
  <c r="C54" i="2"/>
  <c r="C53" i="2"/>
  <c r="C52" i="2"/>
  <c r="S8" i="2"/>
  <c r="X58" i="2"/>
  <c r="X57" i="2"/>
  <c r="X56" i="2"/>
  <c r="X55" i="2"/>
  <c r="O58" i="2"/>
  <c r="O57" i="2"/>
  <c r="O56" i="2"/>
  <c r="O55" i="2"/>
  <c r="K19" i="8"/>
  <c r="M19" i="8" s="1"/>
  <c r="H25" i="8"/>
  <c r="H26" i="8"/>
  <c r="H27" i="8"/>
  <c r="H28" i="8"/>
  <c r="I15" i="8"/>
  <c r="H15" i="8" s="1"/>
  <c r="I16" i="8"/>
  <c r="I13" i="8"/>
  <c r="H14" i="8" s="1"/>
  <c r="D58" i="2"/>
  <c r="D57" i="2"/>
  <c r="D56" i="2"/>
  <c r="D55" i="2"/>
  <c r="F8" i="2"/>
  <c r="E8" i="2"/>
  <c r="B57" i="2"/>
  <c r="B58" i="2"/>
  <c r="B56" i="2"/>
  <c r="B55" i="2"/>
  <c r="B50" i="11"/>
  <c r="X48" i="8"/>
  <c r="U46" i="8"/>
  <c r="V46" i="8"/>
  <c r="W46" i="8"/>
  <c r="X46" i="8"/>
  <c r="U47" i="8"/>
  <c r="V47" i="8"/>
  <c r="W47" i="8"/>
  <c r="X47" i="8"/>
  <c r="T46" i="8"/>
  <c r="T47" i="8"/>
  <c r="T48" i="8"/>
  <c r="B50" i="10"/>
  <c r="X14" i="8"/>
  <c r="S46" i="8"/>
  <c r="S47" i="8"/>
  <c r="S48" i="8"/>
  <c r="P13" i="10"/>
  <c r="P12" i="10"/>
  <c r="Q12" i="10" s="1"/>
  <c r="T15" i="8"/>
  <c r="T16" i="8"/>
  <c r="T17" i="8"/>
  <c r="T14" i="8"/>
  <c r="T13" i="8"/>
  <c r="S28" i="8"/>
  <c r="S29" i="8"/>
  <c r="S30" i="8"/>
  <c r="S31" i="8"/>
  <c r="S32" i="8"/>
  <c r="S33" i="8"/>
  <c r="S34" i="8"/>
  <c r="S35" i="8"/>
  <c r="S36" i="8"/>
  <c r="S37" i="8"/>
  <c r="B52" i="8"/>
  <c r="G44" i="11"/>
  <c r="G45" i="11"/>
  <c r="G46" i="11"/>
  <c r="B49" i="11"/>
  <c r="B48" i="11"/>
  <c r="C8" i="8"/>
  <c r="B49" i="8"/>
  <c r="B50" i="8"/>
  <c r="B51" i="8"/>
  <c r="B49" i="10"/>
  <c r="B48" i="10"/>
  <c r="Y47" i="10"/>
  <c r="K20" i="8"/>
  <c r="M20" i="8" s="1"/>
  <c r="K21" i="8"/>
  <c r="P22" i="5" s="1"/>
  <c r="K22" i="8"/>
  <c r="K23" i="8"/>
  <c r="K24" i="8"/>
  <c r="K25" i="8"/>
  <c r="K26" i="8"/>
  <c r="K27" i="8"/>
  <c r="P23" i="5" s="1"/>
  <c r="K28" i="8"/>
  <c r="K29" i="8"/>
  <c r="K30" i="8"/>
  <c r="K32" i="8"/>
  <c r="K34" i="8"/>
  <c r="K35" i="8"/>
  <c r="K36" i="8"/>
  <c r="U40" i="6"/>
  <c r="Z17" i="5"/>
  <c r="N46" i="8"/>
  <c r="N47" i="8"/>
  <c r="N48" i="8"/>
  <c r="N18" i="8"/>
  <c r="N15" i="8"/>
  <c r="N16" i="8"/>
  <c r="N17" i="8"/>
  <c r="N14" i="8"/>
  <c r="N13" i="8"/>
  <c r="I18" i="6"/>
  <c r="O46" i="8"/>
  <c r="O47" i="8"/>
  <c r="O48" i="8"/>
  <c r="L46" i="8"/>
  <c r="L47" i="8"/>
  <c r="L48" i="8"/>
  <c r="J46" i="8"/>
  <c r="K46" i="8"/>
  <c r="M46" i="8"/>
  <c r="J47" i="8"/>
  <c r="K47" i="8"/>
  <c r="M47" i="8"/>
  <c r="J48" i="8"/>
  <c r="K48" i="8"/>
  <c r="M48" i="8"/>
  <c r="I48" i="8"/>
  <c r="I46" i="8"/>
  <c r="I47" i="8"/>
  <c r="G46" i="8"/>
  <c r="G47" i="8"/>
  <c r="F46" i="8"/>
  <c r="F47" i="8"/>
  <c r="E47" i="8"/>
  <c r="E46" i="8"/>
  <c r="K18" i="8"/>
  <c r="K15" i="8"/>
  <c r="K16" i="8"/>
  <c r="K17" i="8"/>
  <c r="M17" i="8" s="1"/>
  <c r="K14" i="8"/>
  <c r="K13" i="8"/>
  <c r="S25" i="6"/>
  <c r="R25" i="6"/>
  <c r="Q25" i="6"/>
  <c r="N25" i="6"/>
  <c r="M25" i="6"/>
  <c r="L25" i="6" s="1"/>
  <c r="M23" i="6"/>
  <c r="H25" i="6"/>
  <c r="J25" i="6" s="1"/>
  <c r="Z15" i="5"/>
  <c r="Y12" i="5"/>
  <c r="C124" i="5"/>
  <c r="I16" i="6"/>
  <c r="O16" i="6" s="1"/>
  <c r="J16" i="8"/>
  <c r="C80" i="6"/>
  <c r="E44" i="11"/>
  <c r="E45" i="11"/>
  <c r="E46" i="11"/>
  <c r="G15" i="11"/>
  <c r="G14" i="11"/>
  <c r="G13" i="11"/>
  <c r="D5" i="11"/>
  <c r="D6" i="11"/>
  <c r="D7" i="11"/>
  <c r="Q45" i="10"/>
  <c r="R45" i="10"/>
  <c r="Q46" i="10"/>
  <c r="R46" i="10"/>
  <c r="Q47" i="10"/>
  <c r="R47" i="10"/>
  <c r="O25" i="10"/>
  <c r="O26" i="10"/>
  <c r="O27" i="10"/>
  <c r="O28" i="10"/>
  <c r="O29" i="10"/>
  <c r="O30" i="10"/>
  <c r="O31" i="10"/>
  <c r="O32" i="10"/>
  <c r="O33" i="10"/>
  <c r="O34" i="10"/>
  <c r="I22" i="10"/>
  <c r="I23" i="10"/>
  <c r="I24" i="10"/>
  <c r="I25" i="10"/>
  <c r="I26" i="10"/>
  <c r="J14" i="10"/>
  <c r="F14" i="10"/>
  <c r="F45" i="10"/>
  <c r="F46" i="10"/>
  <c r="F47" i="10"/>
  <c r="C47" i="8"/>
  <c r="H6" i="2"/>
  <c r="J41" i="3"/>
  <c r="F41" i="3"/>
  <c r="X59" i="2"/>
  <c r="X60" i="2" s="1"/>
  <c r="X61" i="2" s="1"/>
  <c r="X62" i="2" s="1"/>
  <c r="X63" i="2" s="1"/>
  <c r="X64" i="2" s="1"/>
  <c r="X65" i="2" s="1"/>
  <c r="X66" i="2" s="1"/>
  <c r="X67" i="2" s="1"/>
  <c r="X68" i="2" s="1"/>
  <c r="X69" i="2" s="1"/>
  <c r="X70" i="2" s="1"/>
  <c r="X71" i="2" s="1"/>
  <c r="X72" i="2" s="1"/>
  <c r="X73" i="2" s="1"/>
  <c r="X74" i="2" s="1"/>
  <c r="X75" i="2" s="1"/>
  <c r="X76" i="2" s="1"/>
  <c r="X77" i="2" s="1"/>
  <c r="X78" i="2" s="1"/>
  <c r="X79" i="2" s="1"/>
  <c r="X80" i="2" s="1"/>
  <c r="X81" i="2" s="1"/>
  <c r="O59" i="2"/>
  <c r="O60" i="2" s="1"/>
  <c r="O61" i="2" s="1"/>
  <c r="O62" i="2" s="1"/>
  <c r="O63" i="2" s="1"/>
  <c r="O64" i="2" s="1"/>
  <c r="O65" i="2" s="1"/>
  <c r="O66" i="2" s="1"/>
  <c r="O67" i="2" s="1"/>
  <c r="O68" i="2" s="1"/>
  <c r="O69" i="2" s="1"/>
  <c r="O70" i="2" s="1"/>
  <c r="O71" i="2" s="1"/>
  <c r="O72" i="2" s="1"/>
  <c r="O73" i="2" s="1"/>
  <c r="O74" i="2" s="1"/>
  <c r="O75" i="2" s="1"/>
  <c r="O76" i="2" s="1"/>
  <c r="O77" i="2" s="1"/>
  <c r="O78" i="2" s="1"/>
  <c r="O79" i="2" s="1"/>
  <c r="O80" i="2" s="1"/>
  <c r="O81" i="2" s="1"/>
  <c r="O82" i="2" s="1"/>
  <c r="O83" i="2" s="1"/>
  <c r="O84" i="2" s="1"/>
  <c r="O85" i="2" s="1"/>
  <c r="O86" i="2" s="1"/>
  <c r="B59" i="2"/>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A1" i="3"/>
  <c r="A1" i="2"/>
  <c r="A1" i="11"/>
  <c r="A1" i="10"/>
  <c r="A1" i="8"/>
  <c r="I17" i="6"/>
  <c r="W77" i="7"/>
  <c r="Z54" i="5"/>
  <c r="L77" i="7"/>
  <c r="K77" i="7"/>
  <c r="K70" i="7"/>
  <c r="M47" i="5"/>
  <c r="M46" i="6"/>
  <c r="H46" i="6"/>
  <c r="J46" i="6" s="1"/>
  <c r="D46" i="6"/>
  <c r="E46" i="6" s="1"/>
  <c r="C46" i="6"/>
  <c r="S47" i="6"/>
  <c r="R47" i="6"/>
  <c r="Q47" i="6"/>
  <c r="P47" i="6"/>
  <c r="N47" i="6"/>
  <c r="M47" i="6"/>
  <c r="H47" i="6"/>
  <c r="J47" i="6" s="1"/>
  <c r="E47" i="6"/>
  <c r="C47" i="6"/>
  <c r="C102" i="6" s="1"/>
  <c r="T25" i="5"/>
  <c r="A1" i="6"/>
  <c r="A1" i="5"/>
  <c r="Z16" i="5"/>
  <c r="Z10" i="5"/>
  <c r="Z67" i="5"/>
  <c r="Z66" i="5"/>
  <c r="Z65" i="5"/>
  <c r="Z64" i="5"/>
  <c r="Z12" i="5"/>
  <c r="H52" i="6"/>
  <c r="J52" i="6" s="1"/>
  <c r="K52" i="6" s="1"/>
  <c r="O26" i="7"/>
  <c r="K22" i="6"/>
  <c r="J89" i="5"/>
  <c r="D120" i="7"/>
  <c r="P31" i="6"/>
  <c r="Q31" i="6"/>
  <c r="R31" i="6"/>
  <c r="N31" i="6"/>
  <c r="M31" i="6"/>
  <c r="L31" i="6" s="1"/>
  <c r="H31" i="6"/>
  <c r="J31" i="6" s="1"/>
  <c r="C86" i="6"/>
  <c r="C87" i="6"/>
  <c r="K35" i="7"/>
  <c r="M35" i="7" s="1"/>
  <c r="N35" i="7" s="1"/>
  <c r="C234" i="7"/>
  <c r="K30" i="7"/>
  <c r="M30" i="7" s="1"/>
  <c r="C120" i="7"/>
  <c r="E52" i="6"/>
  <c r="C52" i="6"/>
  <c r="R52" i="6"/>
  <c r="Q52" i="6"/>
  <c r="P52" i="6"/>
  <c r="L41" i="6"/>
  <c r="L40" i="6"/>
  <c r="C185" i="5"/>
  <c r="N16" i="6"/>
  <c r="N17" i="6"/>
  <c r="N18" i="6"/>
  <c r="N12" i="6"/>
  <c r="N22" i="6"/>
  <c r="L26" i="7"/>
  <c r="C48" i="6"/>
  <c r="C103" i="6" s="1"/>
  <c r="B33" i="6" l="1"/>
  <c r="Q18" i="6"/>
  <c r="O18" i="6"/>
  <c r="J18" i="8"/>
  <c r="M18" i="8" s="1"/>
  <c r="O17" i="6"/>
  <c r="Q103" i="7"/>
  <c r="S12" i="7"/>
  <c r="Q11" i="7"/>
  <c r="Q10" i="7"/>
  <c r="B235" i="7"/>
  <c r="B236" i="7" s="1"/>
  <c r="B237" i="7" s="1"/>
  <c r="B238" i="7" s="1"/>
  <c r="B239" i="7" s="1"/>
  <c r="B240" i="7" s="1"/>
  <c r="B246" i="7" s="1"/>
  <c r="B247" i="7" s="1"/>
  <c r="B248" i="7" s="1"/>
  <c r="B249" i="7" s="1"/>
  <c r="B250" i="7" s="1"/>
  <c r="B251" i="7" s="1"/>
  <c r="B252" i="7" s="1"/>
  <c r="B253" i="7" s="1"/>
  <c r="B254" i="7" s="1"/>
  <c r="B255" i="7" s="1"/>
  <c r="B256" i="7" s="1"/>
  <c r="B257" i="7" s="1"/>
  <c r="B258" i="7" s="1"/>
  <c r="B259" i="7" s="1"/>
  <c r="B260" i="7" s="1"/>
  <c r="B261" i="7" s="1"/>
  <c r="B262" i="7" s="1"/>
  <c r="B263" i="7" s="1"/>
  <c r="B264" i="7" s="1"/>
  <c r="B265" i="7" s="1"/>
  <c r="B266" i="7" s="1"/>
  <c r="B267" i="7" s="1"/>
  <c r="B268" i="7" s="1"/>
  <c r="B269" i="7" s="1"/>
  <c r="B270" i="7" s="1"/>
  <c r="B271" i="7" s="1"/>
  <c r="B272" i="7" s="1"/>
  <c r="B273" i="7" s="1"/>
  <c r="B274" i="7" s="1"/>
  <c r="B275" i="7" s="1"/>
  <c r="B276" i="7" s="1"/>
  <c r="B277" i="7" s="1"/>
  <c r="B278" i="7" s="1"/>
  <c r="B279" i="7" s="1"/>
  <c r="B280" i="7" s="1"/>
  <c r="B281" i="7" s="1"/>
  <c r="B282" i="7" s="1"/>
  <c r="B283" i="7" s="1"/>
  <c r="B284" i="7" s="1"/>
  <c r="B285" i="7" s="1"/>
  <c r="B286" i="7" s="1"/>
  <c r="B287" i="7" s="1"/>
  <c r="B288" i="7" s="1"/>
  <c r="B289" i="7" s="1"/>
  <c r="B290" i="7" s="1"/>
  <c r="B291" i="7" s="1"/>
  <c r="N30" i="7"/>
  <c r="Q30" i="7"/>
  <c r="Z35" i="10"/>
  <c r="Z36" i="10"/>
  <c r="Z37" i="10"/>
  <c r="Z38" i="10"/>
  <c r="Z39" i="10"/>
  <c r="E16" i="8"/>
  <c r="D17" i="8" s="1"/>
  <c r="M16" i="8"/>
  <c r="D21" i="2"/>
  <c r="H24" i="8" s="1"/>
  <c r="H9" i="8"/>
  <c r="B36" i="7"/>
  <c r="H16" i="8"/>
  <c r="H17" i="8"/>
  <c r="Z12" i="10"/>
  <c r="Z32" i="10"/>
  <c r="M23" i="7"/>
  <c r="Q23" i="7" s="1"/>
  <c r="Z14" i="10"/>
  <c r="Z15" i="10"/>
  <c r="Z16" i="10"/>
  <c r="Z25" i="10"/>
  <c r="Z17" i="10"/>
  <c r="Z18" i="10"/>
  <c r="E39" i="19" s="1"/>
  <c r="Z19" i="10"/>
  <c r="Z20" i="10"/>
  <c r="Z21" i="10"/>
  <c r="Z22" i="10"/>
  <c r="Z23" i="10"/>
  <c r="Z24" i="10"/>
  <c r="F39" i="19" s="1"/>
  <c r="Z26" i="10"/>
  <c r="Z28" i="10"/>
  <c r="Z29" i="10"/>
  <c r="Z30" i="10"/>
  <c r="Z31" i="10"/>
  <c r="Z33" i="10"/>
  <c r="Z34" i="10"/>
  <c r="G39" i="19" s="1"/>
  <c r="W71" i="7"/>
  <c r="W84" i="7"/>
  <c r="P76" i="5"/>
  <c r="P77" i="5"/>
  <c r="O53" i="6" s="1"/>
  <c r="F16" i="8"/>
  <c r="F18" i="8"/>
  <c r="G18" i="8"/>
  <c r="O54" i="6"/>
  <c r="Q122" i="7"/>
  <c r="N60" i="7"/>
  <c r="Q99" i="7"/>
  <c r="K127" i="7"/>
  <c r="K128" i="7" s="1"/>
  <c r="V128" i="7" s="1"/>
  <c r="J111" i="7"/>
  <c r="AE111" i="7" s="1"/>
  <c r="J110" i="7"/>
  <c r="AE110" i="7" s="1"/>
  <c r="L70" i="7"/>
  <c r="L80" i="7"/>
  <c r="X73" i="5"/>
  <c r="X25" i="5" s="1"/>
  <c r="AE107" i="7"/>
  <c r="B16" i="13"/>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J114" i="7"/>
  <c r="J112" i="7"/>
  <c r="AE112" i="7" s="1"/>
  <c r="J113" i="7"/>
  <c r="AE113" i="7" s="1"/>
  <c r="K141" i="7"/>
  <c r="K140" i="7"/>
  <c r="K112" i="7"/>
  <c r="P14" i="10"/>
  <c r="N19" i="7"/>
  <c r="N11" i="7"/>
  <c r="N10" i="7"/>
  <c r="Q17" i="2"/>
  <c r="Q21" i="2"/>
  <c r="S19" i="8" s="1"/>
  <c r="Q22" i="2"/>
  <c r="Q23" i="2"/>
  <c r="Q24" i="2"/>
  <c r="Q25" i="2"/>
  <c r="Q26" i="2"/>
  <c r="Q20" i="2"/>
  <c r="Q27" i="2"/>
  <c r="Q28" i="2"/>
  <c r="Q29" i="2"/>
  <c r="Z21" i="2"/>
  <c r="Q14" i="2"/>
  <c r="Q13" i="2"/>
  <c r="Q16" i="2"/>
  <c r="Q18" i="2"/>
  <c r="U18" i="2" s="1"/>
  <c r="U19" i="2" s="1"/>
  <c r="U20" i="2" s="1"/>
  <c r="U21" i="2" s="1"/>
  <c r="U22" i="2" s="1"/>
  <c r="U23" i="2" s="1"/>
  <c r="U24" i="2" s="1"/>
  <c r="U25" i="2" s="1"/>
  <c r="U26" i="2" s="1"/>
  <c r="U27" i="2" s="1"/>
  <c r="U28" i="2" s="1"/>
  <c r="U29" i="2" s="1"/>
  <c r="U30" i="2" s="1"/>
  <c r="U31" i="2" s="1"/>
  <c r="U32" i="2" s="1"/>
  <c r="U33" i="2" s="1"/>
  <c r="U34" i="2" s="1"/>
  <c r="U35" i="2" s="1"/>
  <c r="U36" i="2" s="1"/>
  <c r="U37" i="2" s="1"/>
  <c r="U38" i="2" s="1"/>
  <c r="U39" i="2" s="1"/>
  <c r="Q15" i="2"/>
  <c r="C109" i="6"/>
  <c r="Q10" i="8"/>
  <c r="M102" i="7"/>
  <c r="N103" i="7"/>
  <c r="N14" i="7"/>
  <c r="L124" i="7"/>
  <c r="L131" i="7" s="1"/>
  <c r="L127" i="7"/>
  <c r="L128" i="7" s="1"/>
  <c r="K110" i="7"/>
  <c r="T74" i="5"/>
  <c r="X74" i="5"/>
  <c r="S50" i="6"/>
  <c r="P109" i="7"/>
  <c r="P112" i="7"/>
  <c r="P110" i="7"/>
  <c r="K109" i="7"/>
  <c r="J108" i="7"/>
  <c r="J109" i="7"/>
  <c r="AE109" i="7" s="1"/>
  <c r="V126" i="7"/>
  <c r="T126" i="7" s="1"/>
  <c r="AF126" i="7" s="1"/>
  <c r="L49" i="6"/>
  <c r="T18" i="8"/>
  <c r="V125" i="7"/>
  <c r="V124" i="7"/>
  <c r="AF124" i="7" s="1"/>
  <c r="V153" i="7"/>
  <c r="I73" i="5"/>
  <c r="K108" i="7"/>
  <c r="P77" i="7"/>
  <c r="U17" i="8"/>
  <c r="D13" i="2"/>
  <c r="K13" i="2" s="1"/>
  <c r="D14" i="2"/>
  <c r="D15" i="2"/>
  <c r="D16" i="2"/>
  <c r="D18" i="2"/>
  <c r="D17" i="2"/>
  <c r="H20" i="8" s="1"/>
  <c r="D19" i="2"/>
  <c r="H22" i="8" s="1"/>
  <c r="D20" i="2"/>
  <c r="H23" i="8" s="1"/>
  <c r="U16" i="8"/>
  <c r="K10" i="8"/>
  <c r="N46" i="6"/>
  <c r="N52" i="6"/>
  <c r="S52" i="6"/>
  <c r="U52" i="6" s="1"/>
  <c r="S49" i="6"/>
  <c r="C107" i="6"/>
  <c r="O120" i="7"/>
  <c r="N120" i="7"/>
  <c r="N130" i="7" s="1"/>
  <c r="C319" i="7"/>
  <c r="C106" i="7"/>
  <c r="J63" i="7"/>
  <c r="K49" i="7"/>
  <c r="M49" i="7" s="1"/>
  <c r="K34" i="7"/>
  <c r="M34" i="7" s="1"/>
  <c r="N34" i="7" s="1"/>
  <c r="K37" i="7"/>
  <c r="M37" i="7" s="1"/>
  <c r="K38" i="7"/>
  <c r="K39" i="7"/>
  <c r="M39" i="7" s="1"/>
  <c r="K33" i="7"/>
  <c r="K28" i="7"/>
  <c r="J27" i="5"/>
  <c r="K15" i="7"/>
  <c r="M15" i="7" s="1"/>
  <c r="Q15" i="7" s="1"/>
  <c r="K12" i="7"/>
  <c r="M12" i="7" s="1"/>
  <c r="Q12" i="7" s="1"/>
  <c r="I30" i="5"/>
  <c r="I31" i="5"/>
  <c r="I32" i="5"/>
  <c r="I33" i="5"/>
  <c r="I34" i="5"/>
  <c r="I35" i="5"/>
  <c r="I38" i="5"/>
  <c r="I40" i="5"/>
  <c r="I11" i="5"/>
  <c r="I12" i="5"/>
  <c r="I69" i="5"/>
  <c r="I65" i="5"/>
  <c r="I66" i="5"/>
  <c r="I67" i="5"/>
  <c r="I64" i="5"/>
  <c r="X55" i="5"/>
  <c r="S8" i="6"/>
  <c r="R8" i="6"/>
  <c r="H16" i="6"/>
  <c r="H17" i="6"/>
  <c r="H18" i="6"/>
  <c r="J18" i="6" s="1"/>
  <c r="H12" i="6"/>
  <c r="I12" i="6"/>
  <c r="O12" i="6" s="1"/>
  <c r="R23" i="6"/>
  <c r="Q23" i="6"/>
  <c r="P23" i="6"/>
  <c r="N23" i="6"/>
  <c r="N29" i="6"/>
  <c r="N27" i="6"/>
  <c r="M29" i="6"/>
  <c r="C78" i="6"/>
  <c r="H23" i="6"/>
  <c r="J23" i="6" s="1"/>
  <c r="H27" i="6"/>
  <c r="C72" i="6"/>
  <c r="C73" i="6"/>
  <c r="J29" i="6"/>
  <c r="P29" i="6"/>
  <c r="Q29" i="6"/>
  <c r="R29" i="6"/>
  <c r="C84" i="6"/>
  <c r="Z46" i="5"/>
  <c r="W47" i="5"/>
  <c r="O207" i="7"/>
  <c r="C216" i="7"/>
  <c r="W98" i="7"/>
  <c r="L60" i="7"/>
  <c r="A17" i="5"/>
  <c r="U60" i="7"/>
  <c r="V60" i="7" s="1"/>
  <c r="C259" i="7"/>
  <c r="C238" i="7"/>
  <c r="C229" i="7"/>
  <c r="Z32" i="5"/>
  <c r="C141" i="5"/>
  <c r="S61" i="6"/>
  <c r="S62" i="6"/>
  <c r="C71" i="6"/>
  <c r="C67" i="6"/>
  <c r="C123" i="5"/>
  <c r="X115" i="5"/>
  <c r="X116" i="5"/>
  <c r="X117" i="5"/>
  <c r="C126" i="5"/>
  <c r="C139" i="5"/>
  <c r="B34" i="6" l="1"/>
  <c r="B35" i="6" s="1"/>
  <c r="B36" i="6" s="1"/>
  <c r="B37" i="6" s="1"/>
  <c r="B38" i="6" s="1"/>
  <c r="B39" i="6" s="1"/>
  <c r="B40" i="6" s="1"/>
  <c r="B41" i="6" s="1"/>
  <c r="B42" i="6" s="1"/>
  <c r="B43" i="6" s="1"/>
  <c r="B44" i="6" s="1"/>
  <c r="B45" i="6" s="1"/>
  <c r="B46" i="6" s="1"/>
  <c r="B47" i="6" s="1"/>
  <c r="B48" i="6" s="1"/>
  <c r="B49" i="6" s="1"/>
  <c r="B50" i="6" s="1"/>
  <c r="B51" i="6" s="1"/>
  <c r="B52" i="6" s="1"/>
  <c r="B53" i="6" s="1"/>
  <c r="B54" i="6" s="1"/>
  <c r="E18" i="8"/>
  <c r="C39" i="19"/>
  <c r="D39" i="19"/>
  <c r="N37" i="7"/>
  <c r="Q37" i="7"/>
  <c r="N49" i="7"/>
  <c r="Q49" i="7"/>
  <c r="N39" i="7"/>
  <c r="Q39" i="7"/>
  <c r="H19" i="8"/>
  <c r="I19" i="8" s="1"/>
  <c r="I20" i="8" s="1"/>
  <c r="H21" i="8"/>
  <c r="I18" i="10"/>
  <c r="Z8" i="10"/>
  <c r="U18" i="8"/>
  <c r="T19" i="8"/>
  <c r="S12" i="6"/>
  <c r="M12" i="6"/>
  <c r="L12" i="6" s="1"/>
  <c r="B292" i="7"/>
  <c r="N23" i="7"/>
  <c r="Z10" i="10"/>
  <c r="Z9" i="10"/>
  <c r="AC246" i="7"/>
  <c r="Q121" i="7"/>
  <c r="AE126" i="7"/>
  <c r="V107" i="7"/>
  <c r="T128" i="7"/>
  <c r="H10" i="8"/>
  <c r="D18" i="8"/>
  <c r="L160" i="7"/>
  <c r="V118" i="7" s="1"/>
  <c r="AE116" i="7"/>
  <c r="AE114" i="7"/>
  <c r="V117" i="7"/>
  <c r="V116" i="7"/>
  <c r="V115" i="7"/>
  <c r="L111" i="7"/>
  <c r="L115" i="7"/>
  <c r="L116" i="7"/>
  <c r="AE125" i="7"/>
  <c r="L118" i="7"/>
  <c r="M38" i="7"/>
  <c r="M28" i="7"/>
  <c r="M33" i="7"/>
  <c r="N70" i="7"/>
  <c r="P70" i="7" s="1"/>
  <c r="N80" i="7"/>
  <c r="P80" i="7" s="1"/>
  <c r="J80" i="5"/>
  <c r="T55" i="5"/>
  <c r="L50" i="6"/>
  <c r="AE108" i="7"/>
  <c r="J131" i="7"/>
  <c r="Z73" i="5"/>
  <c r="S80" i="7"/>
  <c r="S70" i="7"/>
  <c r="L114" i="7"/>
  <c r="L117" i="7"/>
  <c r="L112" i="7"/>
  <c r="V127" i="7"/>
  <c r="T127" i="7" s="1"/>
  <c r="L107" i="7"/>
  <c r="L130" i="7" s="1"/>
  <c r="L113" i="7"/>
  <c r="K120" i="7"/>
  <c r="L108" i="7"/>
  <c r="L110" i="7"/>
  <c r="M74" i="5" s="1"/>
  <c r="L109" i="7"/>
  <c r="AE127" i="7"/>
  <c r="N12" i="7"/>
  <c r="N102" i="7"/>
  <c r="N15" i="7"/>
  <c r="J74" i="5"/>
  <c r="M50" i="6"/>
  <c r="I74" i="5"/>
  <c r="L20" i="8"/>
  <c r="L19" i="8"/>
  <c r="L18" i="8"/>
  <c r="L17" i="8"/>
  <c r="Z47" i="5"/>
  <c r="R46" i="6"/>
  <c r="S63" i="6"/>
  <c r="R16" i="6"/>
  <c r="P120" i="7"/>
  <c r="L29" i="6"/>
  <c r="L23" i="6"/>
  <c r="I27" i="5"/>
  <c r="C305" i="7"/>
  <c r="P12" i="6"/>
  <c r="X48" i="5"/>
  <c r="Z48" i="5" s="1"/>
  <c r="S17" i="6"/>
  <c r="P16" i="6"/>
  <c r="Q17" i="6"/>
  <c r="J17" i="6"/>
  <c r="Q16" i="6"/>
  <c r="R17" i="6"/>
  <c r="S16" i="6"/>
  <c r="P17" i="6"/>
  <c r="M17" i="6"/>
  <c r="L17" i="6" s="1"/>
  <c r="M16" i="6"/>
  <c r="L16" i="6" s="1"/>
  <c r="J12" i="6"/>
  <c r="P18" i="6"/>
  <c r="Q12" i="6"/>
  <c r="R12" i="6"/>
  <c r="R18" i="6"/>
  <c r="S18" i="6"/>
  <c r="M18" i="6"/>
  <c r="L18" i="6" s="1"/>
  <c r="J16" i="6"/>
  <c r="AA119" i="5"/>
  <c r="AA120" i="5" s="1"/>
  <c r="AA121" i="5" s="1"/>
  <c r="AA122" i="5" s="1"/>
  <c r="AA123" i="5" s="1"/>
  <c r="AA124" i="5" s="1"/>
  <c r="AA125" i="5" s="1"/>
  <c r="AA126" i="5" s="1"/>
  <c r="B119" i="5"/>
  <c r="B120" i="5" s="1"/>
  <c r="B121" i="5" s="1"/>
  <c r="B122" i="5" s="1"/>
  <c r="B123" i="5" s="1"/>
  <c r="B10" i="5"/>
  <c r="B11" i="5" s="1"/>
  <c r="B12" i="5" s="1"/>
  <c r="B13" i="5" s="1"/>
  <c r="B14" i="5" s="1"/>
  <c r="C97" i="6"/>
  <c r="I42" i="6"/>
  <c r="O42" i="6" s="1"/>
  <c r="Q41" i="6"/>
  <c r="U41" i="6" s="1"/>
  <c r="C96" i="6"/>
  <c r="T27" i="5"/>
  <c r="Z27" i="5" s="1"/>
  <c r="P27" i="5"/>
  <c r="S27" i="5"/>
  <c r="C136" i="5"/>
  <c r="W15" i="7"/>
  <c r="W40" i="7" s="1"/>
  <c r="W41" i="7" s="1"/>
  <c r="W14" i="7"/>
  <c r="W39" i="7" s="1"/>
  <c r="L15" i="7"/>
  <c r="L16" i="7"/>
  <c r="L27" i="7" s="1"/>
  <c r="C248" i="7"/>
  <c r="C214" i="7"/>
  <c r="W109" i="7"/>
  <c r="W108" i="7"/>
  <c r="W110" i="7" s="1"/>
  <c r="W114" i="7" s="1"/>
  <c r="W118" i="7" s="1"/>
  <c r="K98" i="7"/>
  <c r="J99" i="7"/>
  <c r="C298" i="7"/>
  <c r="C297" i="7"/>
  <c r="U64" i="7"/>
  <c r="U66" i="7" s="1"/>
  <c r="W64" i="7"/>
  <c r="C263" i="7"/>
  <c r="W28" i="7"/>
  <c r="W103" i="7"/>
  <c r="V103" i="7"/>
  <c r="V102" i="7"/>
  <c r="C302" i="7"/>
  <c r="C301" i="7"/>
  <c r="Y65" i="5"/>
  <c r="Y64" i="5"/>
  <c r="S64" i="5"/>
  <c r="Q65" i="5"/>
  <c r="S65" i="5" s="1"/>
  <c r="C174" i="5"/>
  <c r="J15" i="8"/>
  <c r="J14" i="8"/>
  <c r="R37" i="6"/>
  <c r="R27" i="6"/>
  <c r="Q37" i="6"/>
  <c r="P37" i="6"/>
  <c r="N37" i="6"/>
  <c r="M37" i="6"/>
  <c r="H37" i="6"/>
  <c r="J37" i="6" s="1"/>
  <c r="G37" i="6"/>
  <c r="C92" i="6"/>
  <c r="C93" i="6"/>
  <c r="P33" i="5"/>
  <c r="N32" i="6"/>
  <c r="W45" i="7"/>
  <c r="W63" i="7"/>
  <c r="W67" i="7"/>
  <c r="W38" i="7"/>
  <c r="W37" i="7"/>
  <c r="W33" i="7"/>
  <c r="W27" i="7"/>
  <c r="H32" i="6"/>
  <c r="C233" i="7"/>
  <c r="W205" i="7"/>
  <c r="W206" i="7"/>
  <c r="W207" i="7"/>
  <c r="R36" i="6"/>
  <c r="Q36" i="6"/>
  <c r="P36" i="6"/>
  <c r="T36" i="6" s="1"/>
  <c r="P10" i="6"/>
  <c r="N36" i="6"/>
  <c r="M36" i="6"/>
  <c r="H36" i="6"/>
  <c r="J36" i="6" s="1"/>
  <c r="G36" i="6"/>
  <c r="C91" i="6"/>
  <c r="V150" i="7"/>
  <c r="W31" i="5"/>
  <c r="C140" i="5"/>
  <c r="C151" i="5"/>
  <c r="Z40" i="5"/>
  <c r="C143" i="5"/>
  <c r="C149" i="5"/>
  <c r="W30" i="5"/>
  <c r="S33" i="5"/>
  <c r="Z34" i="5"/>
  <c r="Z33" i="5"/>
  <c r="C142" i="5"/>
  <c r="C147" i="5"/>
  <c r="C144" i="5"/>
  <c r="P27" i="6"/>
  <c r="Q27" i="6"/>
  <c r="S69" i="7"/>
  <c r="N35" i="6"/>
  <c r="I35" i="6"/>
  <c r="O35" i="6" s="1"/>
  <c r="C90" i="6"/>
  <c r="H35" i="6"/>
  <c r="G35" i="6"/>
  <c r="D107" i="7"/>
  <c r="D49" i="6" s="1"/>
  <c r="E49" i="6" s="1"/>
  <c r="Q25" i="5"/>
  <c r="G28" i="6"/>
  <c r="C83" i="6"/>
  <c r="M27" i="6"/>
  <c r="J27" i="6"/>
  <c r="G27" i="6"/>
  <c r="C82" i="6"/>
  <c r="S30" i="11"/>
  <c r="S16" i="11"/>
  <c r="S13" i="11"/>
  <c r="V61" i="6"/>
  <c r="V62" i="6"/>
  <c r="V63" i="6"/>
  <c r="F59" i="6"/>
  <c r="E21" i="11"/>
  <c r="E22" i="11"/>
  <c r="E23" i="11"/>
  <c r="E24" i="11"/>
  <c r="E25" i="11"/>
  <c r="E26" i="11"/>
  <c r="E27" i="11"/>
  <c r="E28" i="11"/>
  <c r="O45" i="10"/>
  <c r="O46" i="10"/>
  <c r="O47" i="10"/>
  <c r="Z27" i="2"/>
  <c r="Z28" i="2" s="1"/>
  <c r="Z29" i="2" s="1"/>
  <c r="Z30" i="2" s="1"/>
  <c r="Z31" i="2" s="1"/>
  <c r="Z32" i="2" s="1"/>
  <c r="Z33" i="2" s="1"/>
  <c r="Z34" i="2" s="1"/>
  <c r="Z23" i="2"/>
  <c r="Z24" i="2" s="1"/>
  <c r="Z25" i="2" s="1"/>
  <c r="D63" i="6"/>
  <c r="E63" i="6"/>
  <c r="P45" i="6"/>
  <c r="Y43" i="5"/>
  <c r="L37" i="7"/>
  <c r="L38" i="7"/>
  <c r="L45" i="7"/>
  <c r="L33" i="7"/>
  <c r="L28" i="7"/>
  <c r="D191" i="7"/>
  <c r="N11" i="6"/>
  <c r="N43" i="6"/>
  <c r="N39" i="6"/>
  <c r="N26" i="6"/>
  <c r="N30" i="6"/>
  <c r="N45" i="6"/>
  <c r="N10" i="6"/>
  <c r="M10" i="6"/>
  <c r="G30" i="6"/>
  <c r="G45" i="6"/>
  <c r="G10" i="6"/>
  <c r="E45" i="6"/>
  <c r="E10" i="6"/>
  <c r="E30" i="6"/>
  <c r="N61" i="6"/>
  <c r="N62" i="6"/>
  <c r="N63" i="6"/>
  <c r="C85" i="6"/>
  <c r="C100" i="6"/>
  <c r="H30" i="6"/>
  <c r="L205" i="7"/>
  <c r="L206" i="7"/>
  <c r="L207" i="7"/>
  <c r="L14" i="7"/>
  <c r="Z11" i="5"/>
  <c r="Y10" i="5"/>
  <c r="S10" i="5"/>
  <c r="C119" i="5"/>
  <c r="J13" i="8"/>
  <c r="M13" i="8" s="1"/>
  <c r="Y46" i="5"/>
  <c r="C101" i="6"/>
  <c r="M115" i="5"/>
  <c r="M116" i="5"/>
  <c r="M117" i="5"/>
  <c r="C49" i="6"/>
  <c r="C104" i="6" s="1"/>
  <c r="C73" i="5"/>
  <c r="AA178" i="7"/>
  <c r="F22" i="6"/>
  <c r="Y45" i="10"/>
  <c r="Y46" i="10"/>
  <c r="Y12" i="10"/>
  <c r="U135" i="7"/>
  <c r="J26" i="5"/>
  <c r="M26" i="6"/>
  <c r="P48" i="5"/>
  <c r="C14" i="11"/>
  <c r="C16" i="11"/>
  <c r="C18" i="11"/>
  <c r="C29" i="11"/>
  <c r="C13" i="11"/>
  <c r="F12" i="10"/>
  <c r="L45" i="6"/>
  <c r="AA47" i="11"/>
  <c r="AA13" i="11" s="1"/>
  <c r="AB12" i="11"/>
  <c r="Q47" i="11"/>
  <c r="Q13" i="11" s="1"/>
  <c r="AB44" i="11"/>
  <c r="AB45" i="11"/>
  <c r="AB46" i="11"/>
  <c r="F46" i="11"/>
  <c r="D46" i="11"/>
  <c r="F45" i="11"/>
  <c r="D45" i="11"/>
  <c r="F44" i="11"/>
  <c r="D44" i="11"/>
  <c r="L12" i="11"/>
  <c r="J46" i="11"/>
  <c r="I46" i="11"/>
  <c r="H46" i="11"/>
  <c r="C46" i="11"/>
  <c r="J45" i="11"/>
  <c r="I45" i="11"/>
  <c r="H45" i="11"/>
  <c r="C45" i="11"/>
  <c r="J44" i="11"/>
  <c r="I44" i="11"/>
  <c r="H44" i="11"/>
  <c r="C44" i="11"/>
  <c r="A2" i="11"/>
  <c r="C77" i="6"/>
  <c r="Q10" i="6"/>
  <c r="R10" i="6"/>
  <c r="R45" i="6"/>
  <c r="Q45" i="6"/>
  <c r="M45" i="6"/>
  <c r="M38" i="6"/>
  <c r="H45" i="6"/>
  <c r="H10" i="6"/>
  <c r="J10" i="6" s="1"/>
  <c r="C65" i="6"/>
  <c r="C183" i="5"/>
  <c r="C105" i="6"/>
  <c r="U39" i="6"/>
  <c r="K172" i="7"/>
  <c r="K170" i="7"/>
  <c r="K167" i="7"/>
  <c r="K144" i="7"/>
  <c r="K166" i="7"/>
  <c r="C307" i="7"/>
  <c r="P45" i="10"/>
  <c r="P46" i="10"/>
  <c r="C45" i="10"/>
  <c r="E45" i="10"/>
  <c r="G45" i="10"/>
  <c r="I45" i="10"/>
  <c r="J45" i="10"/>
  <c r="K45" i="10"/>
  <c r="M45" i="10"/>
  <c r="C46" i="10"/>
  <c r="E46" i="10"/>
  <c r="G46" i="10"/>
  <c r="I46" i="10"/>
  <c r="J46" i="10"/>
  <c r="K46" i="10"/>
  <c r="M46" i="10"/>
  <c r="C47" i="10"/>
  <c r="E47" i="10"/>
  <c r="G47" i="10"/>
  <c r="I47" i="10"/>
  <c r="J47" i="10"/>
  <c r="P205" i="7"/>
  <c r="P206" i="7"/>
  <c r="K169" i="7"/>
  <c r="C308" i="7"/>
  <c r="C207" i="7"/>
  <c r="C206" i="7"/>
  <c r="C205" i="7"/>
  <c r="C236" i="7"/>
  <c r="U14" i="7"/>
  <c r="V14" i="7" s="1"/>
  <c r="Q16" i="5"/>
  <c r="S16" i="5" s="1"/>
  <c r="J12" i="10"/>
  <c r="K12" i="10" s="1"/>
  <c r="P47" i="10"/>
  <c r="T46" i="10"/>
  <c r="T45" i="10"/>
  <c r="A2" i="10"/>
  <c r="L61" i="6"/>
  <c r="L62" i="6"/>
  <c r="L63" i="6"/>
  <c r="J38" i="6"/>
  <c r="M43" i="6"/>
  <c r="O170" i="7"/>
  <c r="K165" i="7"/>
  <c r="K164" i="7"/>
  <c r="C306" i="7"/>
  <c r="C276" i="7"/>
  <c r="AA43" i="2"/>
  <c r="Z43" i="5"/>
  <c r="N115" i="5"/>
  <c r="N116" i="5"/>
  <c r="N117" i="5"/>
  <c r="O117" i="5"/>
  <c r="K45" i="7"/>
  <c r="G100" i="5"/>
  <c r="G99" i="5"/>
  <c r="G98" i="5"/>
  <c r="G97" i="5"/>
  <c r="R61" i="6"/>
  <c r="R62" i="6"/>
  <c r="R63" i="6"/>
  <c r="AC7" i="2"/>
  <c r="AC12" i="2" s="1"/>
  <c r="AC6" i="2"/>
  <c r="T7" i="2"/>
  <c r="T6" i="2"/>
  <c r="H7" i="2"/>
  <c r="I6" i="2"/>
  <c r="G12" i="2"/>
  <c r="G8" i="2"/>
  <c r="G3" i="11" s="1"/>
  <c r="G16" i="11" s="1"/>
  <c r="Y98" i="2"/>
  <c r="P96" i="2"/>
  <c r="S12" i="2"/>
  <c r="S13" i="2" s="1"/>
  <c r="F12" i="2"/>
  <c r="R12" i="2"/>
  <c r="R13" i="2" s="1"/>
  <c r="R14" i="2" s="1"/>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O12" i="2"/>
  <c r="O13" i="2" s="1"/>
  <c r="O14" i="2" s="1"/>
  <c r="O15" i="2" s="1"/>
  <c r="O16" i="2" s="1"/>
  <c r="O17" i="2" s="1"/>
  <c r="O18" i="2" s="1"/>
  <c r="O19" i="2" s="1"/>
  <c r="O20" i="2" s="1"/>
  <c r="O21" i="2" s="1"/>
  <c r="O22" i="2" s="1"/>
  <c r="O23" i="2" s="1"/>
  <c r="O24" i="2" s="1"/>
  <c r="O25" i="2" s="1"/>
  <c r="O26" i="2" s="1"/>
  <c r="O27" i="2" s="1"/>
  <c r="O28" i="2" s="1"/>
  <c r="O29" i="2" s="1"/>
  <c r="O30" i="2" s="1"/>
  <c r="O31" i="2" s="1"/>
  <c r="O32" i="2" s="1"/>
  <c r="O33" i="2" s="1"/>
  <c r="O34" i="2" s="1"/>
  <c r="O35" i="2" s="1"/>
  <c r="O36" i="2" s="1"/>
  <c r="O37" i="2" s="1"/>
  <c r="O38" i="2" s="1"/>
  <c r="O39" i="2" s="1"/>
  <c r="E48" i="5"/>
  <c r="E51" i="5" s="1"/>
  <c r="E53" i="5" s="1"/>
  <c r="E47" i="5"/>
  <c r="F108" i="5"/>
  <c r="E108" i="5"/>
  <c r="O47" i="5"/>
  <c r="R43" i="6"/>
  <c r="R26" i="6"/>
  <c r="R11" i="6"/>
  <c r="W115" i="5"/>
  <c r="W116" i="5"/>
  <c r="W117" i="5"/>
  <c r="AA12" i="2"/>
  <c r="X12" i="2"/>
  <c r="X13" i="2" s="1"/>
  <c r="X14" i="2" s="1"/>
  <c r="X15" i="2" s="1"/>
  <c r="X16" i="2" s="1"/>
  <c r="X17" i="2" s="1"/>
  <c r="X18" i="2" s="1"/>
  <c r="X19" i="2" s="1"/>
  <c r="X20" i="2" s="1"/>
  <c r="X21" i="2" s="1"/>
  <c r="X22" i="2" s="1"/>
  <c r="X23" i="2" s="1"/>
  <c r="X24" i="2" s="1"/>
  <c r="X25" i="2" s="1"/>
  <c r="X26" i="2" s="1"/>
  <c r="X27" i="2" s="1"/>
  <c r="X28" i="2" s="1"/>
  <c r="X29" i="2" s="1"/>
  <c r="X30" i="2" s="1"/>
  <c r="X31" i="2" s="1"/>
  <c r="X32" i="2" s="1"/>
  <c r="X33" i="2" s="1"/>
  <c r="X34" i="2" s="1"/>
  <c r="K11" i="3"/>
  <c r="J11" i="3"/>
  <c r="G11" i="3"/>
  <c r="F11" i="3"/>
  <c r="E12" i="2"/>
  <c r="E13" i="2" s="1"/>
  <c r="E14" i="2" s="1"/>
  <c r="E15" i="2" s="1"/>
  <c r="E16" i="2" s="1"/>
  <c r="E17" i="2" s="1"/>
  <c r="E18" i="2" s="1"/>
  <c r="E19" i="2" s="1"/>
  <c r="E20" i="2" s="1"/>
  <c r="E21" i="2" s="1"/>
  <c r="E22" i="2" s="1"/>
  <c r="E23" i="2" s="1"/>
  <c r="E24" i="2" s="1"/>
  <c r="E25" i="2" s="1"/>
  <c r="E26" i="2" s="1"/>
  <c r="B12" i="2"/>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C134" i="5"/>
  <c r="T38" i="6"/>
  <c r="C11" i="3"/>
  <c r="A2" i="8"/>
  <c r="L73" i="3"/>
  <c r="F73" i="3"/>
  <c r="AA27" i="7"/>
  <c r="T27" i="7"/>
  <c r="U27" i="7"/>
  <c r="V27" i="7" s="1"/>
  <c r="X27" i="7"/>
  <c r="Y27" i="7"/>
  <c r="J27" i="7"/>
  <c r="C211" i="7"/>
  <c r="C213" i="7"/>
  <c r="C215" i="7"/>
  <c r="C226" i="7"/>
  <c r="C227" i="7"/>
  <c r="C232" i="7"/>
  <c r="C237" i="7"/>
  <c r="C244" i="7"/>
  <c r="C262" i="7"/>
  <c r="C266" i="7"/>
  <c r="C269" i="7"/>
  <c r="C225" i="7"/>
  <c r="C323" i="7"/>
  <c r="O205" i="7"/>
  <c r="O206" i="7"/>
  <c r="V205" i="7"/>
  <c r="V206" i="7"/>
  <c r="V207" i="7"/>
  <c r="P43" i="6"/>
  <c r="Q43" i="6"/>
  <c r="H43" i="6"/>
  <c r="C98" i="6"/>
  <c r="N205" i="7"/>
  <c r="N206" i="7"/>
  <c r="N207" i="7"/>
  <c r="F98" i="5"/>
  <c r="F99" i="5"/>
  <c r="F100" i="5"/>
  <c r="F97" i="5"/>
  <c r="D205" i="7"/>
  <c r="E205" i="7"/>
  <c r="F205" i="7"/>
  <c r="G205" i="7"/>
  <c r="J205" i="7"/>
  <c r="K205" i="7"/>
  <c r="T205" i="7"/>
  <c r="U205" i="7"/>
  <c r="X205" i="7"/>
  <c r="Y205" i="7"/>
  <c r="AA205" i="7"/>
  <c r="D206" i="7"/>
  <c r="G206" i="7"/>
  <c r="J206" i="7"/>
  <c r="K206" i="7"/>
  <c r="T206" i="7"/>
  <c r="U206" i="7"/>
  <c r="X206" i="7"/>
  <c r="Y206" i="7"/>
  <c r="AA206" i="7"/>
  <c r="D207" i="7"/>
  <c r="J207" i="7"/>
  <c r="K207" i="7"/>
  <c r="T207" i="7"/>
  <c r="U207" i="7"/>
  <c r="X207" i="7"/>
  <c r="Y207" i="7"/>
  <c r="AA207" i="7"/>
  <c r="F61" i="6"/>
  <c r="P26" i="6"/>
  <c r="S69" i="5"/>
  <c r="H39" i="6"/>
  <c r="S30" i="5"/>
  <c r="C94" i="6"/>
  <c r="C173" i="5"/>
  <c r="C175" i="5"/>
  <c r="C176" i="5"/>
  <c r="C120" i="5"/>
  <c r="C121" i="5"/>
  <c r="C125" i="5"/>
  <c r="C152" i="5"/>
  <c r="C155" i="5"/>
  <c r="C156" i="5"/>
  <c r="C157" i="5"/>
  <c r="C163" i="5"/>
  <c r="C164" i="5"/>
  <c r="C177" i="5"/>
  <c r="C178" i="5"/>
  <c r="C135" i="5"/>
  <c r="C180" i="5"/>
  <c r="Q11" i="6"/>
  <c r="P11" i="6"/>
  <c r="P117" i="5"/>
  <c r="P115" i="5"/>
  <c r="P116" i="5"/>
  <c r="C115" i="5"/>
  <c r="D115" i="5"/>
  <c r="E115" i="5"/>
  <c r="F115" i="5"/>
  <c r="G115" i="5"/>
  <c r="J115" i="5"/>
  <c r="I115" i="5"/>
  <c r="O115" i="5"/>
  <c r="Q115" i="5"/>
  <c r="R115" i="5"/>
  <c r="S115" i="5"/>
  <c r="T115" i="5"/>
  <c r="U115" i="5"/>
  <c r="V115" i="5"/>
  <c r="Y115" i="5"/>
  <c r="Z115" i="5"/>
  <c r="D116" i="5"/>
  <c r="E116" i="5"/>
  <c r="F116" i="5"/>
  <c r="G116" i="5"/>
  <c r="J116" i="5"/>
  <c r="I116" i="5"/>
  <c r="O116" i="5"/>
  <c r="Q116" i="5"/>
  <c r="R116" i="5"/>
  <c r="S116" i="5"/>
  <c r="T116" i="5"/>
  <c r="U116" i="5"/>
  <c r="V116" i="5"/>
  <c r="Y116" i="5"/>
  <c r="Z116" i="5"/>
  <c r="J117" i="5"/>
  <c r="I117" i="5"/>
  <c r="Q117" i="5"/>
  <c r="S117" i="5"/>
  <c r="U117" i="5"/>
  <c r="V117" i="5"/>
  <c r="Y117" i="5"/>
  <c r="Z117" i="5"/>
  <c r="V26" i="5"/>
  <c r="C66" i="6"/>
  <c r="C95" i="6"/>
  <c r="C81" i="6"/>
  <c r="C61" i="6"/>
  <c r="D61" i="6"/>
  <c r="E61" i="6"/>
  <c r="G61" i="6"/>
  <c r="H61" i="6"/>
  <c r="I61" i="6"/>
  <c r="J61" i="6"/>
  <c r="K61" i="6"/>
  <c r="M61" i="6"/>
  <c r="O61" i="6"/>
  <c r="P61" i="6"/>
  <c r="Q61" i="6"/>
  <c r="T61" i="6"/>
  <c r="U61" i="6"/>
  <c r="C62" i="6"/>
  <c r="D62" i="6"/>
  <c r="E62" i="6"/>
  <c r="G62" i="6"/>
  <c r="H62" i="6"/>
  <c r="I62" i="6"/>
  <c r="J62" i="6"/>
  <c r="K62" i="6"/>
  <c r="M62" i="6"/>
  <c r="O62" i="6"/>
  <c r="P62" i="6"/>
  <c r="Q62" i="6"/>
  <c r="T62" i="6"/>
  <c r="U62" i="6"/>
  <c r="G63" i="6"/>
  <c r="H63" i="6"/>
  <c r="I63" i="6"/>
  <c r="J63" i="6"/>
  <c r="K63" i="6"/>
  <c r="M63" i="6"/>
  <c r="O63" i="6"/>
  <c r="P63" i="6"/>
  <c r="Q63" i="6"/>
  <c r="T63" i="6"/>
  <c r="U63" i="6"/>
  <c r="H26" i="6"/>
  <c r="J26" i="6" s="1"/>
  <c r="H40" i="6"/>
  <c r="H11" i="6"/>
  <c r="J11" i="6" s="1"/>
  <c r="S35" i="7" l="1"/>
  <c r="O32" i="6"/>
  <c r="N33" i="7"/>
  <c r="Q33" i="7"/>
  <c r="N28" i="7"/>
  <c r="Q28" i="7"/>
  <c r="N38" i="7"/>
  <c r="Q38" i="7"/>
  <c r="E14" i="8"/>
  <c r="M14" i="8"/>
  <c r="E15" i="8"/>
  <c r="D8" i="8" s="1"/>
  <c r="E9" i="8" s="1"/>
  <c r="M15" i="8"/>
  <c r="I21" i="8"/>
  <c r="I22" i="8" s="1"/>
  <c r="I23" i="8" s="1"/>
  <c r="I24" i="8" s="1"/>
  <c r="I25" i="8" s="1"/>
  <c r="I26" i="8" s="1"/>
  <c r="I27" i="8" s="1"/>
  <c r="I28" i="8" s="1"/>
  <c r="I29" i="8" s="1"/>
  <c r="L19" i="2"/>
  <c r="L20" i="2" s="1"/>
  <c r="L21" i="2" s="1"/>
  <c r="L22" i="2" s="1"/>
  <c r="L23" i="2" s="1"/>
  <c r="L24" i="2" s="1"/>
  <c r="L25" i="2" s="1"/>
  <c r="L26" i="2" s="1"/>
  <c r="E19" i="8"/>
  <c r="D19" i="8" s="1"/>
  <c r="B293" i="7"/>
  <c r="B294" i="7" s="1"/>
  <c r="B295" i="7" s="1"/>
  <c r="B296" i="7" s="1"/>
  <c r="B297" i="7" s="1"/>
  <c r="B298" i="7" s="1"/>
  <c r="B299" i="7" s="1"/>
  <c r="B300" i="7" s="1"/>
  <c r="B301" i="7" s="1"/>
  <c r="B302" i="7" s="1"/>
  <c r="B303" i="7" s="1"/>
  <c r="B304" i="7" s="1"/>
  <c r="B305" i="7" s="1"/>
  <c r="B306" i="7" s="1"/>
  <c r="B307" i="7" s="1"/>
  <c r="B308" i="7" s="1"/>
  <c r="B309" i="7" s="1"/>
  <c r="B310" i="7" s="1"/>
  <c r="B311" i="7" s="1"/>
  <c r="B312" i="7" s="1"/>
  <c r="B313" i="7" s="1"/>
  <c r="B314" i="7" s="1"/>
  <c r="B315" i="7" s="1"/>
  <c r="B316" i="7" s="1"/>
  <c r="B317" i="7" s="1"/>
  <c r="B318" i="7" s="1"/>
  <c r="B319" i="7" s="1"/>
  <c r="B320" i="7" s="1"/>
  <c r="B321" i="7" s="1"/>
  <c r="B322" i="7" s="1"/>
  <c r="B323" i="7" s="1"/>
  <c r="B324" i="7" s="1"/>
  <c r="B325" i="7" s="1"/>
  <c r="B326" i="7" s="1"/>
  <c r="B327" i="7" s="1"/>
  <c r="B328" i="7" s="1"/>
  <c r="M12" i="11"/>
  <c r="U12" i="11" s="1"/>
  <c r="T12" i="11"/>
  <c r="Q14" i="11"/>
  <c r="R13" i="11"/>
  <c r="M13" i="11" s="1"/>
  <c r="U13" i="11" s="1"/>
  <c r="X22" i="5"/>
  <c r="V22" i="5"/>
  <c r="U22" i="5"/>
  <c r="W22" i="5"/>
  <c r="J120" i="7"/>
  <c r="K25" i="7"/>
  <c r="J25" i="7" s="1"/>
  <c r="AA127" i="5"/>
  <c r="AA128" i="5" s="1"/>
  <c r="AA129" i="5" s="1"/>
  <c r="AC247" i="7"/>
  <c r="AC248" i="7" s="1"/>
  <c r="AC249" i="7" s="1"/>
  <c r="AC250" i="7" s="1"/>
  <c r="AC251" i="7" s="1"/>
  <c r="AC252" i="7" s="1"/>
  <c r="AC253" i="7" s="1"/>
  <c r="AC254" i="7" s="1"/>
  <c r="AC255" i="7" s="1"/>
  <c r="AA133" i="7"/>
  <c r="AA134" i="7" s="1"/>
  <c r="K24" i="7"/>
  <c r="J24" i="7" s="1"/>
  <c r="K26" i="7"/>
  <c r="J26" i="7" s="1"/>
  <c r="V24" i="6"/>
  <c r="V53" i="6"/>
  <c r="V130" i="7"/>
  <c r="V131" i="7"/>
  <c r="E13" i="8"/>
  <c r="W29" i="7"/>
  <c r="W55" i="7" s="1"/>
  <c r="W52" i="7"/>
  <c r="E50" i="5"/>
  <c r="E52" i="5" s="1"/>
  <c r="E49" i="5"/>
  <c r="M45" i="7"/>
  <c r="Z55" i="5"/>
  <c r="W113" i="7"/>
  <c r="W117" i="7" s="1"/>
  <c r="W111" i="7"/>
  <c r="W115" i="7" s="1"/>
  <c r="V111" i="7"/>
  <c r="V114" i="7"/>
  <c r="V113" i="7"/>
  <c r="V112" i="7"/>
  <c r="V110" i="7"/>
  <c r="V109" i="7"/>
  <c r="V108" i="7"/>
  <c r="V8" i="8"/>
  <c r="S7" i="10"/>
  <c r="N50" i="6"/>
  <c r="AE128" i="7"/>
  <c r="Y13" i="10"/>
  <c r="X15" i="8"/>
  <c r="M98" i="7"/>
  <c r="J25" i="5"/>
  <c r="I25" i="5" s="1"/>
  <c r="S106" i="5"/>
  <c r="J75" i="7" s="1"/>
  <c r="W112" i="7"/>
  <c r="W116" i="7" s="1"/>
  <c r="U15" i="8"/>
  <c r="F15" i="8"/>
  <c r="U14" i="8"/>
  <c r="F14" i="8"/>
  <c r="U13" i="8"/>
  <c r="F13" i="8"/>
  <c r="K31" i="8"/>
  <c r="A12" i="10"/>
  <c r="F8" i="10"/>
  <c r="S14" i="11"/>
  <c r="AB13" i="11"/>
  <c r="AK12" i="10" s="1"/>
  <c r="S17" i="11"/>
  <c r="D14" i="11"/>
  <c r="Z26" i="5"/>
  <c r="B124" i="5"/>
  <c r="B125" i="5" s="1"/>
  <c r="B126" i="5" s="1"/>
  <c r="V25" i="6"/>
  <c r="Z30" i="5"/>
  <c r="M52" i="6"/>
  <c r="V47" i="6"/>
  <c r="V46" i="6"/>
  <c r="J13" i="10"/>
  <c r="S31" i="11"/>
  <c r="E29" i="11"/>
  <c r="E30" i="11"/>
  <c r="E13" i="11"/>
  <c r="I21" i="10"/>
  <c r="D27" i="2"/>
  <c r="E27" i="2" s="1"/>
  <c r="E28" i="2" s="1"/>
  <c r="E29" i="2" s="1"/>
  <c r="E30" i="2" s="1"/>
  <c r="E31" i="2" s="1"/>
  <c r="E32" i="2" s="1"/>
  <c r="E33" i="2" s="1"/>
  <c r="D34" i="2"/>
  <c r="D28" i="2"/>
  <c r="D29" i="2"/>
  <c r="D30" i="2"/>
  <c r="D31" i="2"/>
  <c r="D32" i="2"/>
  <c r="D33" i="2"/>
  <c r="V52" i="6"/>
  <c r="V49" i="6"/>
  <c r="V16" i="6"/>
  <c r="V18" i="6"/>
  <c r="V12" i="6"/>
  <c r="V50" i="6"/>
  <c r="V43" i="6"/>
  <c r="V17" i="6"/>
  <c r="P107" i="7"/>
  <c r="Q35" i="6"/>
  <c r="W48" i="5"/>
  <c r="V31" i="6"/>
  <c r="H42" i="6"/>
  <c r="J42" i="6" s="1"/>
  <c r="L37" i="6"/>
  <c r="L36" i="6"/>
  <c r="L43" i="6"/>
  <c r="L38" i="6"/>
  <c r="L27" i="6"/>
  <c r="L10" i="6"/>
  <c r="J43" i="5"/>
  <c r="I43" i="5" s="1"/>
  <c r="L26" i="6"/>
  <c r="J45" i="6"/>
  <c r="K16" i="7"/>
  <c r="K42" i="6"/>
  <c r="M42" i="6"/>
  <c r="I26" i="5"/>
  <c r="V23" i="6"/>
  <c r="V29" i="6"/>
  <c r="AA10" i="5"/>
  <c r="B15" i="5"/>
  <c r="Z31" i="5"/>
  <c r="J35" i="6"/>
  <c r="H41" i="6"/>
  <c r="J41" i="6" s="1"/>
  <c r="V37" i="6"/>
  <c r="V32" i="6"/>
  <c r="V36" i="6"/>
  <c r="U36" i="6"/>
  <c r="H49" i="6"/>
  <c r="O49" i="6"/>
  <c r="M35" i="6"/>
  <c r="P35" i="6"/>
  <c r="V35" i="6"/>
  <c r="H28" i="6"/>
  <c r="N26" i="7"/>
  <c r="S22" i="6" s="1"/>
  <c r="U22" i="6" s="1"/>
  <c r="N28" i="6"/>
  <c r="R28" i="6"/>
  <c r="V27" i="6"/>
  <c r="V45" i="6"/>
  <c r="V11" i="6"/>
  <c r="L13" i="11"/>
  <c r="V26" i="6"/>
  <c r="M73" i="5"/>
  <c r="N49" i="6"/>
  <c r="Z15" i="2"/>
  <c r="Z13" i="2"/>
  <c r="AD13" i="2" s="1"/>
  <c r="AD14" i="2" s="1"/>
  <c r="AD15" i="2" s="1"/>
  <c r="AD16" i="2" s="1"/>
  <c r="AD17" i="2" s="1"/>
  <c r="AD18" i="2" s="1"/>
  <c r="AD19" i="2" s="1"/>
  <c r="AD20" i="2" s="1"/>
  <c r="AD21" i="2" s="1"/>
  <c r="AD22" i="2" s="1"/>
  <c r="AD23" i="2" s="1"/>
  <c r="AD24" i="2" s="1"/>
  <c r="AD25" i="2" s="1"/>
  <c r="AD26" i="2" s="1"/>
  <c r="AD27" i="2" s="1"/>
  <c r="AD28" i="2" s="1"/>
  <c r="AD29" i="2" s="1"/>
  <c r="AD30" i="2" s="1"/>
  <c r="AD31" i="2" s="1"/>
  <c r="AD32" i="2" s="1"/>
  <c r="AD33" i="2" s="1"/>
  <c r="AD34" i="2" s="1"/>
  <c r="Z14" i="2"/>
  <c r="Z18" i="2"/>
  <c r="Z20" i="2"/>
  <c r="Z17" i="2"/>
  <c r="Z16" i="2"/>
  <c r="Z19" i="2"/>
  <c r="S27" i="8"/>
  <c r="S25" i="8"/>
  <c r="S24" i="8"/>
  <c r="S23" i="8"/>
  <c r="S22" i="8"/>
  <c r="S21" i="8"/>
  <c r="S20" i="8"/>
  <c r="T20" i="8" s="1"/>
  <c r="T21" i="8" s="1"/>
  <c r="T22" i="8" s="1"/>
  <c r="T23" i="8" s="1"/>
  <c r="T24" i="8" s="1"/>
  <c r="T25" i="8" s="1"/>
  <c r="S26" i="8"/>
  <c r="I19" i="10"/>
  <c r="I20" i="10"/>
  <c r="I17" i="10"/>
  <c r="AA42" i="2"/>
  <c r="R30" i="6"/>
  <c r="J30" i="6"/>
  <c r="Q30" i="6"/>
  <c r="J43" i="6"/>
  <c r="P30" i="6"/>
  <c r="M30" i="6"/>
  <c r="M49" i="6"/>
  <c r="C182" i="5"/>
  <c r="M11" i="6"/>
  <c r="L11" i="6" s="1"/>
  <c r="J108" i="5"/>
  <c r="AA14" i="11"/>
  <c r="AL13" i="10" s="1"/>
  <c r="S46" i="10"/>
  <c r="S45" i="10"/>
  <c r="D108" i="7"/>
  <c r="U43" i="6"/>
  <c r="K145" i="7"/>
  <c r="AA108" i="7"/>
  <c r="W8" i="8"/>
  <c r="T7" i="10"/>
  <c r="G101" i="5"/>
  <c r="J73" i="5"/>
  <c r="T8" i="2"/>
  <c r="AC8" i="2"/>
  <c r="T12" i="2"/>
  <c r="T13" i="2" s="1"/>
  <c r="T14" i="2" s="1"/>
  <c r="T15" i="2" s="1"/>
  <c r="T16" i="2" s="1"/>
  <c r="T17" i="2" s="1"/>
  <c r="T18" i="2" s="1"/>
  <c r="T19" i="2" s="1"/>
  <c r="T20" i="2" s="1"/>
  <c r="T21" i="2" s="1"/>
  <c r="T22" i="2" s="1"/>
  <c r="T23" i="2" s="1"/>
  <c r="T24" i="2" s="1"/>
  <c r="T25" i="2" s="1"/>
  <c r="T26" i="2" s="1"/>
  <c r="T27" i="2" s="1"/>
  <c r="T28" i="2" s="1"/>
  <c r="T29" i="2" s="1"/>
  <c r="T30" i="2" s="1"/>
  <c r="T31" i="2" s="1"/>
  <c r="T32" i="2" s="1"/>
  <c r="T33" i="2" s="1"/>
  <c r="T34" i="2" s="1"/>
  <c r="T35" i="2" s="1"/>
  <c r="T36" i="2" s="1"/>
  <c r="H8" i="2"/>
  <c r="H12" i="2"/>
  <c r="J6" i="2"/>
  <c r="I7" i="2"/>
  <c r="I8" i="2" s="1"/>
  <c r="G13" i="2"/>
  <c r="G14" i="2" s="1"/>
  <c r="G15" i="2" s="1"/>
  <c r="G16" i="2" s="1"/>
  <c r="G17" i="2" s="1"/>
  <c r="G18" i="2" s="1"/>
  <c r="G9" i="2" s="1"/>
  <c r="F13" i="2"/>
  <c r="F14" i="2" s="1"/>
  <c r="F15" i="2" s="1"/>
  <c r="F16" i="2" s="1"/>
  <c r="F17" i="2" s="1"/>
  <c r="S14" i="2"/>
  <c r="S15" i="2" s="1"/>
  <c r="S16" i="2" s="1"/>
  <c r="S17" i="2" s="1"/>
  <c r="S18" i="2" s="1"/>
  <c r="S19" i="2" s="1"/>
  <c r="S20" i="2" s="1"/>
  <c r="S21" i="2" s="1"/>
  <c r="S22" i="2" s="1"/>
  <c r="S23" i="2" s="1"/>
  <c r="O96" i="2"/>
  <c r="X98" i="2"/>
  <c r="X100" i="2" s="1"/>
  <c r="X26" i="6"/>
  <c r="X45" i="6"/>
  <c r="X10" i="6"/>
  <c r="G13" i="3"/>
  <c r="G14" i="3" s="1"/>
  <c r="G15" i="3" s="1"/>
  <c r="G16" i="3" s="1"/>
  <c r="G17" i="3" s="1"/>
  <c r="G18" i="3" s="1"/>
  <c r="G20" i="3" s="1"/>
  <c r="G21" i="3" s="1"/>
  <c r="G22" i="3" s="1"/>
  <c r="G23" i="3" s="1"/>
  <c r="G24" i="3" s="1"/>
  <c r="G25" i="3" s="1"/>
  <c r="G26" i="3" s="1"/>
  <c r="G27" i="3" s="1"/>
  <c r="K12" i="3"/>
  <c r="K13" i="3" s="1"/>
  <c r="K14" i="3" s="1"/>
  <c r="K15" i="3" s="1"/>
  <c r="K16" i="3" s="1"/>
  <c r="K17" i="3" s="1"/>
  <c r="K18" i="3" s="1"/>
  <c r="K19" i="3" s="1"/>
  <c r="K20" i="3" s="1"/>
  <c r="K21" i="3" s="1"/>
  <c r="K22" i="3" s="1"/>
  <c r="K23" i="3" s="1"/>
  <c r="K24" i="3" s="1"/>
  <c r="H73" i="3"/>
  <c r="T43" i="6"/>
  <c r="J76" i="3"/>
  <c r="J79" i="3"/>
  <c r="J82" i="3"/>
  <c r="F76" i="3"/>
  <c r="F79" i="3"/>
  <c r="F82" i="3"/>
  <c r="J40" i="6"/>
  <c r="A2" i="6"/>
  <c r="F101" i="5"/>
  <c r="Y16" i="5"/>
  <c r="Y11" i="5"/>
  <c r="S11" i="5"/>
  <c r="Y67" i="5"/>
  <c r="S67" i="5"/>
  <c r="S46" i="5"/>
  <c r="S66" i="5"/>
  <c r="S12" i="5"/>
  <c r="S43" i="5"/>
  <c r="S26" i="5"/>
  <c r="Y66" i="5"/>
  <c r="D16" i="8" l="1"/>
  <c r="D15" i="8"/>
  <c r="D14" i="8"/>
  <c r="N45" i="7"/>
  <c r="Q45" i="7"/>
  <c r="T26" i="8"/>
  <c r="T27" i="8" s="1"/>
  <c r="T28" i="8" s="1"/>
  <c r="T29" i="8" s="1"/>
  <c r="T30" i="8" s="1"/>
  <c r="T31" i="8" s="1"/>
  <c r="T32" i="8" s="1"/>
  <c r="T33" i="8" s="1"/>
  <c r="T34" i="8" s="1"/>
  <c r="T35" i="8" s="1"/>
  <c r="T36" i="8" s="1"/>
  <c r="T37" i="8" s="1"/>
  <c r="T37" i="2"/>
  <c r="T38" i="2" s="1"/>
  <c r="AC13" i="2"/>
  <c r="AC14" i="2" s="1"/>
  <c r="AC15" i="2" s="1"/>
  <c r="AC16" i="2" s="1"/>
  <c r="AC17" i="2" s="1"/>
  <c r="AC18" i="2" s="1"/>
  <c r="AC19" i="2" s="1"/>
  <c r="AC20" i="2" s="1"/>
  <c r="AC21" i="2" s="1"/>
  <c r="AC22" i="2" s="1"/>
  <c r="AC23" i="2" s="1"/>
  <c r="AC24" i="2" s="1"/>
  <c r="AC25" i="2" s="1"/>
  <c r="AC26" i="2" s="1"/>
  <c r="AC27" i="2" s="1"/>
  <c r="AC28" i="2" s="1"/>
  <c r="AC29" i="2" s="1"/>
  <c r="AC30" i="2" s="1"/>
  <c r="AC31" i="2" s="1"/>
  <c r="AC32" i="2" s="1"/>
  <c r="AC33" i="2" s="1"/>
  <c r="AC34" i="2" s="1"/>
  <c r="L27" i="2"/>
  <c r="L28" i="2" s="1"/>
  <c r="L29" i="2" s="1"/>
  <c r="L30" i="2" s="1"/>
  <c r="L31" i="2" s="1"/>
  <c r="L32" i="2" s="1"/>
  <c r="L33" i="2" s="1"/>
  <c r="L34" i="2" s="1"/>
  <c r="AA13" i="2"/>
  <c r="AA14" i="2" s="1"/>
  <c r="AA15" i="2" s="1"/>
  <c r="AA16" i="2" s="1"/>
  <c r="AA17" i="2" s="1"/>
  <c r="AA18" i="2" s="1"/>
  <c r="AA19" i="2" s="1"/>
  <c r="AA20" i="2" s="1"/>
  <c r="AA21" i="2" s="1"/>
  <c r="AA22" i="2" s="1"/>
  <c r="AA23" i="2" s="1"/>
  <c r="AA24" i="2" s="1"/>
  <c r="AA25" i="2" s="1"/>
  <c r="AA26" i="2" s="1"/>
  <c r="AA27" i="2" s="1"/>
  <c r="AA28" i="2" s="1"/>
  <c r="AA29" i="2" s="1"/>
  <c r="AA30" i="2" s="1"/>
  <c r="AA31" i="2" s="1"/>
  <c r="AA32" i="2" s="1"/>
  <c r="AA33" i="2" s="1"/>
  <c r="AA34" i="2" s="1"/>
  <c r="Q15" i="11"/>
  <c r="R14" i="11"/>
  <c r="M14" i="11" s="1"/>
  <c r="U14" i="11" s="1"/>
  <c r="AK13" i="10"/>
  <c r="X23" i="5"/>
  <c r="U23" i="5"/>
  <c r="W23" i="5"/>
  <c r="V23" i="5"/>
  <c r="AA130" i="5"/>
  <c r="AA131" i="5" s="1"/>
  <c r="AA132" i="5" s="1"/>
  <c r="AA133" i="5" s="1"/>
  <c r="AA134" i="5" s="1"/>
  <c r="AA135" i="5" s="1"/>
  <c r="AA136" i="5" s="1"/>
  <c r="AA137" i="5" s="1"/>
  <c r="AA138" i="5" s="1"/>
  <c r="AA139" i="5" s="1"/>
  <c r="AA140" i="5" s="1"/>
  <c r="AA141" i="5" s="1"/>
  <c r="AA142" i="5" s="1"/>
  <c r="AA143" i="5" s="1"/>
  <c r="AA144" i="5" s="1"/>
  <c r="AA145" i="5" s="1"/>
  <c r="AA148" i="5" s="1"/>
  <c r="AA149" i="5" s="1"/>
  <c r="AA150" i="5" s="1"/>
  <c r="AA151" i="5" s="1"/>
  <c r="AA152" i="5" s="1"/>
  <c r="AA153" i="5" s="1"/>
  <c r="AA154" i="5" s="1"/>
  <c r="AA155" i="5" s="1"/>
  <c r="AA156" i="5" s="1"/>
  <c r="AA157" i="5" s="1"/>
  <c r="AA158" i="5" s="1"/>
  <c r="AA159" i="5" s="1"/>
  <c r="AA160" i="5" s="1"/>
  <c r="AA161" i="5" s="1"/>
  <c r="AA162" i="5" s="1"/>
  <c r="AA163" i="5" s="1"/>
  <c r="AA164" i="5" s="1"/>
  <c r="AA165" i="5" s="1"/>
  <c r="AA166" i="5" s="1"/>
  <c r="AA167" i="5" s="1"/>
  <c r="AA168" i="5" s="1"/>
  <c r="AA169" i="5" s="1"/>
  <c r="AA170" i="5" s="1"/>
  <c r="AA171" i="5" s="1"/>
  <c r="AA172" i="5" s="1"/>
  <c r="AA173" i="5" s="1"/>
  <c r="AA174" i="5" s="1"/>
  <c r="AA175" i="5" s="1"/>
  <c r="AA176" i="5" s="1"/>
  <c r="AA177" i="5" s="1"/>
  <c r="AA178" i="5" s="1"/>
  <c r="AA179" i="5" s="1"/>
  <c r="AA180" i="5" s="1"/>
  <c r="AA181" i="5" s="1"/>
  <c r="AA182" i="5" s="1"/>
  <c r="AA183" i="5" s="1"/>
  <c r="AA184" i="5" s="1"/>
  <c r="AA185" i="5" s="1"/>
  <c r="AA186" i="5" s="1"/>
  <c r="AA187" i="5" s="1"/>
  <c r="B127" i="5"/>
  <c r="B128" i="5" s="1"/>
  <c r="B129" i="5" s="1"/>
  <c r="J84" i="7"/>
  <c r="J74" i="7"/>
  <c r="M22" i="6"/>
  <c r="L52" i="6"/>
  <c r="AF12" i="10"/>
  <c r="AC12" i="10"/>
  <c r="AI12" i="10" s="1"/>
  <c r="AC256" i="7"/>
  <c r="J90" i="7"/>
  <c r="J73" i="7"/>
  <c r="J72" i="7"/>
  <c r="S11" i="8"/>
  <c r="I49" i="5"/>
  <c r="J96" i="7"/>
  <c r="K104" i="7"/>
  <c r="M104" i="7" s="1"/>
  <c r="Q104" i="7" s="1"/>
  <c r="J95" i="7"/>
  <c r="I53" i="5"/>
  <c r="I55" i="5"/>
  <c r="J81" i="7"/>
  <c r="I51" i="5"/>
  <c r="I52" i="5"/>
  <c r="J92" i="7"/>
  <c r="J80" i="7"/>
  <c r="J77" i="7"/>
  <c r="I50" i="5"/>
  <c r="I48" i="5"/>
  <c r="I29" i="10"/>
  <c r="H32" i="8"/>
  <c r="I33" i="10"/>
  <c r="H36" i="8"/>
  <c r="I34" i="10"/>
  <c r="H37" i="8"/>
  <c r="I32" i="10"/>
  <c r="H35" i="8"/>
  <c r="I31" i="10"/>
  <c r="H34" i="8"/>
  <c r="I30" i="10"/>
  <c r="H33" i="8"/>
  <c r="I28" i="10"/>
  <c r="H31" i="8"/>
  <c r="I27" i="10"/>
  <c r="H30" i="8"/>
  <c r="I30" i="8" s="1"/>
  <c r="I31" i="8" s="1"/>
  <c r="I32" i="8" s="1"/>
  <c r="I33" i="8" s="1"/>
  <c r="I34" i="8" s="1"/>
  <c r="I35" i="8" s="1"/>
  <c r="I36" i="8" s="1"/>
  <c r="I37" i="8" s="1"/>
  <c r="S24" i="2"/>
  <c r="S25" i="2" s="1"/>
  <c r="S26" i="2" s="1"/>
  <c r="S27" i="2" s="1"/>
  <c r="S28" i="2" s="1"/>
  <c r="S29" i="2" s="1"/>
  <c r="S30" i="2" s="1"/>
  <c r="S31" i="2" s="1"/>
  <c r="S32" i="2" s="1"/>
  <c r="S33" i="2" s="1"/>
  <c r="S34" i="2" s="1"/>
  <c r="S35" i="2" s="1"/>
  <c r="S36" i="2" s="1"/>
  <c r="S37" i="2" s="1"/>
  <c r="S38" i="2" s="1"/>
  <c r="S39" i="2" s="1"/>
  <c r="S9" i="2"/>
  <c r="Y14" i="10"/>
  <c r="X16" i="8"/>
  <c r="K67" i="7"/>
  <c r="M67" i="7" s="1"/>
  <c r="Q67" i="7" s="1"/>
  <c r="L47" i="6"/>
  <c r="I54" i="5"/>
  <c r="I47" i="5"/>
  <c r="I46" i="5"/>
  <c r="K64" i="7"/>
  <c r="M64" i="7" s="1"/>
  <c r="Q64" i="7" s="1"/>
  <c r="K66" i="7"/>
  <c r="M66" i="7" s="1"/>
  <c r="L46" i="6"/>
  <c r="K63" i="7"/>
  <c r="M63" i="7" s="1"/>
  <c r="O52" i="6"/>
  <c r="Q120" i="7"/>
  <c r="N98" i="7"/>
  <c r="V13" i="8"/>
  <c r="V18" i="8"/>
  <c r="V16" i="8"/>
  <c r="V17" i="8"/>
  <c r="V15" i="8"/>
  <c r="V14" i="8"/>
  <c r="K33" i="8"/>
  <c r="R12" i="10"/>
  <c r="S12" i="10" s="1"/>
  <c r="M12" i="10"/>
  <c r="T12" i="10" s="1"/>
  <c r="S32" i="11"/>
  <c r="T13" i="11"/>
  <c r="S19" i="11"/>
  <c r="AA15" i="11"/>
  <c r="AL14" i="10" s="1"/>
  <c r="W17" i="8"/>
  <c r="B16" i="5"/>
  <c r="B17" i="5" s="1"/>
  <c r="O22" i="10"/>
  <c r="O24" i="10"/>
  <c r="O23" i="10"/>
  <c r="I16" i="10"/>
  <c r="J16" i="10" s="1"/>
  <c r="J17" i="10" s="1"/>
  <c r="J18" i="10" s="1"/>
  <c r="J19" i="10" s="1"/>
  <c r="J20" i="10" s="1"/>
  <c r="J21" i="10" s="1"/>
  <c r="J22" i="10" s="1"/>
  <c r="J23" i="10" s="1"/>
  <c r="J24" i="10" s="1"/>
  <c r="J25" i="10" s="1"/>
  <c r="J26" i="10" s="1"/>
  <c r="J27" i="10" s="1"/>
  <c r="J28" i="10" s="1"/>
  <c r="O17" i="10"/>
  <c r="O16" i="10"/>
  <c r="P16" i="10" s="1"/>
  <c r="P17" i="10" s="1"/>
  <c r="O18" i="10"/>
  <c r="O19" i="10"/>
  <c r="O20" i="10"/>
  <c r="O21" i="10"/>
  <c r="L15" i="8"/>
  <c r="L16" i="8"/>
  <c r="L14" i="8"/>
  <c r="W16" i="8"/>
  <c r="W14" i="8"/>
  <c r="W13" i="8"/>
  <c r="W15" i="8"/>
  <c r="G17" i="11"/>
  <c r="W18" i="8"/>
  <c r="V30" i="6"/>
  <c r="G13" i="10"/>
  <c r="E14" i="11"/>
  <c r="E15" i="11"/>
  <c r="E31" i="11"/>
  <c r="V22" i="6"/>
  <c r="AC73" i="5"/>
  <c r="R22" i="6"/>
  <c r="L35" i="6"/>
  <c r="L30" i="6"/>
  <c r="U42" i="6"/>
  <c r="AA11" i="5"/>
  <c r="AA12" i="5" s="1"/>
  <c r="AA13" i="5" s="1"/>
  <c r="AA14" i="5" s="1"/>
  <c r="K4" i="6"/>
  <c r="K15" i="6" s="1"/>
  <c r="I28" i="6"/>
  <c r="V28" i="6"/>
  <c r="K13" i="10"/>
  <c r="J12" i="2"/>
  <c r="R47" i="2"/>
  <c r="AB7" i="2"/>
  <c r="AB8" i="2" s="1"/>
  <c r="G71" i="5"/>
  <c r="S47" i="10"/>
  <c r="T47" i="10"/>
  <c r="P108" i="7"/>
  <c r="J50" i="6"/>
  <c r="K50" i="6" s="1"/>
  <c r="U50" i="6" s="1"/>
  <c r="I108" i="5"/>
  <c r="AB14" i="11"/>
  <c r="L14" i="11"/>
  <c r="G19" i="2"/>
  <c r="G20" i="2" s="1"/>
  <c r="G21" i="2" s="1"/>
  <c r="G22" i="2" s="1"/>
  <c r="G23" i="2" s="1"/>
  <c r="G24" i="2" s="1"/>
  <c r="G25" i="2" s="1"/>
  <c r="G26" i="2" s="1"/>
  <c r="G27" i="2" s="1"/>
  <c r="G28" i="2" s="1"/>
  <c r="G29" i="2" s="1"/>
  <c r="G30" i="2" s="1"/>
  <c r="G31" i="2" s="1"/>
  <c r="G32" i="2" s="1"/>
  <c r="G33" i="2" s="1"/>
  <c r="J99" i="5"/>
  <c r="J49" i="6"/>
  <c r="F18" i="2"/>
  <c r="F9" i="2" s="1"/>
  <c r="C88" i="8"/>
  <c r="B88" i="8"/>
  <c r="J7" i="2"/>
  <c r="K26" i="3"/>
  <c r="K27" i="3" s="1"/>
  <c r="K28" i="3" s="1"/>
  <c r="K29" i="3" s="1"/>
  <c r="K30" i="3" s="1"/>
  <c r="K31" i="3" s="1"/>
  <c r="K32" i="3" s="1"/>
  <c r="O98" i="2"/>
  <c r="O100" i="2"/>
  <c r="O102" i="2"/>
  <c r="C95" i="2"/>
  <c r="C101" i="2"/>
  <c r="E95" i="2"/>
  <c r="X104" i="2"/>
  <c r="B79" i="3"/>
  <c r="D73" i="3"/>
  <c r="B96" i="8"/>
  <c r="B93" i="8"/>
  <c r="B90" i="8"/>
  <c r="X102" i="2"/>
  <c r="C97" i="2"/>
  <c r="C99" i="2"/>
  <c r="B82" i="3"/>
  <c r="B76" i="3"/>
  <c r="J29" i="10" l="1"/>
  <c r="J30" i="10" s="1"/>
  <c r="J31" i="10" s="1"/>
  <c r="J32" i="10" s="1"/>
  <c r="J33" i="10" s="1"/>
  <c r="J34" i="10" s="1"/>
  <c r="S9" i="11"/>
  <c r="N15" i="5"/>
  <c r="N18" i="5"/>
  <c r="N77" i="5"/>
  <c r="N13" i="5"/>
  <c r="N49" i="5"/>
  <c r="N70" i="5"/>
  <c r="N62" i="5"/>
  <c r="N55" i="5"/>
  <c r="N76" i="5"/>
  <c r="N53" i="5"/>
  <c r="N52" i="5"/>
  <c r="N51" i="5"/>
  <c r="N46" i="5"/>
  <c r="N50" i="5"/>
  <c r="N36" i="5"/>
  <c r="N17" i="5"/>
  <c r="N27" i="5"/>
  <c r="Q16" i="11"/>
  <c r="R15" i="11"/>
  <c r="M15" i="11" s="1"/>
  <c r="AK14" i="10"/>
  <c r="P18" i="10"/>
  <c r="P19" i="10" s="1"/>
  <c r="P20" i="10" s="1"/>
  <c r="P21" i="10" s="1"/>
  <c r="P22" i="10" s="1"/>
  <c r="P23" i="10" s="1"/>
  <c r="P24" i="10" s="1"/>
  <c r="P25" i="10" s="1"/>
  <c r="P26" i="10" s="1"/>
  <c r="P27" i="10" s="1"/>
  <c r="P28" i="10" s="1"/>
  <c r="P29" i="10" s="1"/>
  <c r="P30" i="10" s="1"/>
  <c r="P31" i="10" s="1"/>
  <c r="P32" i="10" s="1"/>
  <c r="P33" i="10" s="1"/>
  <c r="P34" i="10" s="1"/>
  <c r="P35" i="10" s="1"/>
  <c r="P36" i="10" s="1"/>
  <c r="P37" i="10" s="1"/>
  <c r="P38" i="10" s="1"/>
  <c r="P39" i="10" s="1"/>
  <c r="B130" i="5"/>
  <c r="B131" i="5" s="1"/>
  <c r="B132" i="5" s="1"/>
  <c r="B133" i="5" s="1"/>
  <c r="B134" i="5" s="1"/>
  <c r="B135" i="5" s="1"/>
  <c r="B136" i="5" s="1"/>
  <c r="B137" i="5" s="1"/>
  <c r="B138" i="5" s="1"/>
  <c r="B139" i="5" s="1"/>
  <c r="B140" i="5" s="1"/>
  <c r="B141" i="5" s="1"/>
  <c r="B142" i="5" s="1"/>
  <c r="B143" i="5" s="1"/>
  <c r="B144" i="5" s="1"/>
  <c r="B145"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 i="5"/>
  <c r="B19" i="5" s="1"/>
  <c r="B20" i="5" s="1"/>
  <c r="AC257" i="7"/>
  <c r="AC258" i="7" s="1"/>
  <c r="AC259" i="7" s="1"/>
  <c r="AC260" i="7" s="1"/>
  <c r="AC261" i="7" s="1"/>
  <c r="AC262" i="7" s="1"/>
  <c r="AC263" i="7" s="1"/>
  <c r="AC264" i="7" s="1"/>
  <c r="AC265" i="7" s="1"/>
  <c r="AC266" i="7" s="1"/>
  <c r="AC267" i="7" s="1"/>
  <c r="AC268" i="7" s="1"/>
  <c r="AC269" i="7" s="1"/>
  <c r="AC270" i="7" s="1"/>
  <c r="AC271" i="7" s="1"/>
  <c r="AC272" i="7" s="1"/>
  <c r="AC273" i="7" s="1"/>
  <c r="AB12" i="10"/>
  <c r="AD12" i="10"/>
  <c r="AH12" i="10" s="1"/>
  <c r="AN12" i="10"/>
  <c r="Y13" i="11" s="1"/>
  <c r="W13" i="11" s="1"/>
  <c r="AF13" i="10"/>
  <c r="AG13" i="10" s="1"/>
  <c r="AC13" i="10"/>
  <c r="N19" i="8"/>
  <c r="G18" i="11"/>
  <c r="N20" i="8" s="1"/>
  <c r="K24" i="6"/>
  <c r="U24" i="6" s="1"/>
  <c r="K10" i="6"/>
  <c r="U10" i="6" s="1"/>
  <c r="H11" i="8"/>
  <c r="H12" i="8"/>
  <c r="N104" i="7"/>
  <c r="N64" i="7"/>
  <c r="N67" i="7"/>
  <c r="N63" i="7"/>
  <c r="N66" i="7"/>
  <c r="K18" i="6"/>
  <c r="S10" i="2"/>
  <c r="S11" i="2"/>
  <c r="R9" i="2"/>
  <c r="AA9" i="2"/>
  <c r="AD9" i="2"/>
  <c r="AC9" i="2"/>
  <c r="T9" i="2"/>
  <c r="Y15" i="10"/>
  <c r="X17" i="8"/>
  <c r="L22" i="6"/>
  <c r="U19" i="8"/>
  <c r="V19" i="8" s="1"/>
  <c r="E9" i="2"/>
  <c r="G10" i="2"/>
  <c r="G11" i="2"/>
  <c r="E16" i="11"/>
  <c r="M13" i="10"/>
  <c r="F19" i="8"/>
  <c r="F14" i="11"/>
  <c r="AB15" i="11"/>
  <c r="S34" i="11"/>
  <c r="S20" i="11"/>
  <c r="AA16" i="11"/>
  <c r="AL15" i="10" s="1"/>
  <c r="AM15" i="10" s="1"/>
  <c r="AM16" i="10" s="1"/>
  <c r="T14" i="11"/>
  <c r="O4" i="8"/>
  <c r="O13" i="8" s="1"/>
  <c r="P13" i="8" s="1"/>
  <c r="K25" i="6"/>
  <c r="T25" i="6" s="1"/>
  <c r="Z74" i="5"/>
  <c r="K47" i="6"/>
  <c r="E32" i="11"/>
  <c r="E17" i="11"/>
  <c r="N48" i="5"/>
  <c r="N14" i="5"/>
  <c r="N32" i="5"/>
  <c r="N31" i="5"/>
  <c r="N12" i="5"/>
  <c r="N33" i="5"/>
  <c r="N34" i="5"/>
  <c r="N54" i="5"/>
  <c r="N65" i="5"/>
  <c r="N71" i="5"/>
  <c r="N11" i="5"/>
  <c r="N69" i="5"/>
  <c r="N40" i="5"/>
  <c r="N35" i="5"/>
  <c r="N38" i="5"/>
  <c r="N47" i="5"/>
  <c r="N30" i="5"/>
  <c r="N64" i="5"/>
  <c r="N66" i="5"/>
  <c r="N67" i="5"/>
  <c r="N10" i="5"/>
  <c r="N26" i="5"/>
  <c r="N16" i="5"/>
  <c r="Z25" i="5"/>
  <c r="J28" i="6"/>
  <c r="K28" i="6" s="1"/>
  <c r="K31" i="6"/>
  <c r="N25" i="5"/>
  <c r="R25" i="5" s="1"/>
  <c r="K23" i="6"/>
  <c r="K46" i="6"/>
  <c r="K16" i="6"/>
  <c r="K17" i="6"/>
  <c r="T17" i="6" s="1"/>
  <c r="K12" i="6"/>
  <c r="U12" i="6" s="1"/>
  <c r="K37" i="6"/>
  <c r="K29" i="6"/>
  <c r="AA15" i="5"/>
  <c r="AA16" i="5" s="1"/>
  <c r="AA17" i="5" s="1"/>
  <c r="AA18" i="5" s="1"/>
  <c r="AA19" i="5" s="1"/>
  <c r="AA20" i="5" s="1"/>
  <c r="AA21" i="5" s="1"/>
  <c r="AA22" i="5" s="1"/>
  <c r="K11" i="6"/>
  <c r="K45" i="6"/>
  <c r="H3" i="11"/>
  <c r="H13" i="11" s="1"/>
  <c r="K26" i="6"/>
  <c r="O3" i="7"/>
  <c r="K30" i="6"/>
  <c r="K27" i="6"/>
  <c r="K35" i="6"/>
  <c r="P28" i="6"/>
  <c r="M28" i="6"/>
  <c r="C17" i="11"/>
  <c r="Q13" i="10"/>
  <c r="J8" i="2"/>
  <c r="H13" i="2"/>
  <c r="I13" i="2" s="1"/>
  <c r="J13" i="2" s="1"/>
  <c r="K49" i="6"/>
  <c r="U49" i="6" s="1"/>
  <c r="L15" i="11"/>
  <c r="K27" i="7"/>
  <c r="F19" i="2"/>
  <c r="F20" i="2" s="1"/>
  <c r="F21" i="2" s="1"/>
  <c r="F22" i="2" s="1"/>
  <c r="F23" i="2" s="1"/>
  <c r="F24" i="2" s="1"/>
  <c r="F25" i="2" s="1"/>
  <c r="F26" i="2" s="1"/>
  <c r="F27" i="2" s="1"/>
  <c r="F28" i="2" s="1"/>
  <c r="F29" i="2" s="1"/>
  <c r="F30" i="2" s="1"/>
  <c r="F31" i="2" s="1"/>
  <c r="F32" i="2" s="1"/>
  <c r="F33" i="2" s="1"/>
  <c r="F34" i="2" s="1"/>
  <c r="AB12" i="2"/>
  <c r="AB13" i="2" s="1"/>
  <c r="H14" i="2"/>
  <c r="I14" i="2" s="1"/>
  <c r="J14" i="2" s="1"/>
  <c r="O42" i="7" l="1"/>
  <c r="P42" i="7" s="1"/>
  <c r="O43" i="7"/>
  <c r="P43" i="7" s="1"/>
  <c r="O44" i="7"/>
  <c r="P44" i="7" s="1"/>
  <c r="I13" i="11"/>
  <c r="J13" i="11" s="1"/>
  <c r="U15" i="11"/>
  <c r="J35" i="10"/>
  <c r="P8" i="10"/>
  <c r="Q17" i="11"/>
  <c r="R16" i="11"/>
  <c r="AK15" i="10"/>
  <c r="AK16" i="10" s="1"/>
  <c r="U24" i="5"/>
  <c r="X24" i="5"/>
  <c r="W24" i="5"/>
  <c r="V24" i="5"/>
  <c r="L10" i="2"/>
  <c r="T24" i="6"/>
  <c r="AC274" i="7"/>
  <c r="AC275" i="7" s="1"/>
  <c r="AC276" i="7" s="1"/>
  <c r="B21" i="5"/>
  <c r="B22" i="5" s="1"/>
  <c r="B23" i="5" s="1"/>
  <c r="B24" i="5" s="1"/>
  <c r="B25" i="5" s="1"/>
  <c r="B26" i="5" s="1"/>
  <c r="B27" i="5" s="1"/>
  <c r="B28" i="5" s="1"/>
  <c r="B29" i="5" s="1"/>
  <c r="B30" i="5" s="1"/>
  <c r="B31" i="5" s="1"/>
  <c r="B32" i="5" s="1"/>
  <c r="B33" i="5" s="1"/>
  <c r="B34" i="5" s="1"/>
  <c r="B35" i="5" s="1"/>
  <c r="B36" i="5" s="1"/>
  <c r="AF14" i="10"/>
  <c r="AC14" i="10"/>
  <c r="O48" i="7"/>
  <c r="P48" i="7" s="1"/>
  <c r="O56" i="7"/>
  <c r="P56" i="7" s="1"/>
  <c r="O57" i="7"/>
  <c r="P57" i="7" s="1"/>
  <c r="O23" i="7"/>
  <c r="P23" i="7" s="1"/>
  <c r="O32" i="7"/>
  <c r="P32" i="7" s="1"/>
  <c r="O51" i="7"/>
  <c r="P51" i="7" s="1"/>
  <c r="O50" i="7"/>
  <c r="P50" i="7" s="1"/>
  <c r="O47" i="7"/>
  <c r="P47" i="7" s="1"/>
  <c r="O21" i="7"/>
  <c r="P21" i="7" s="1"/>
  <c r="O22" i="7"/>
  <c r="P22" i="7" s="1"/>
  <c r="O67" i="7"/>
  <c r="P67" i="7" s="1"/>
  <c r="O63" i="7"/>
  <c r="P63" i="7" s="1"/>
  <c r="O64" i="7"/>
  <c r="P64" i="7" s="1"/>
  <c r="O41" i="7"/>
  <c r="P41" i="7" s="1"/>
  <c r="O46" i="7"/>
  <c r="P46" i="7" s="1"/>
  <c r="O55" i="7"/>
  <c r="P55" i="7" s="1"/>
  <c r="O20" i="7"/>
  <c r="P20" i="7" s="1"/>
  <c r="O18" i="7"/>
  <c r="P18" i="7" s="1"/>
  <c r="O52" i="7"/>
  <c r="P52" i="7" s="1"/>
  <c r="O54" i="7"/>
  <c r="P54" i="7" s="1"/>
  <c r="O53" i="7"/>
  <c r="P53" i="7" s="1"/>
  <c r="O66" i="7"/>
  <c r="O60" i="7"/>
  <c r="P60" i="7" s="1"/>
  <c r="O65" i="7"/>
  <c r="P65" i="7" s="1"/>
  <c r="O30" i="7"/>
  <c r="O33" i="7"/>
  <c r="P33" i="7" s="1"/>
  <c r="O29" i="7"/>
  <c r="P29" i="7" s="1"/>
  <c r="O49" i="7"/>
  <c r="O45" i="7"/>
  <c r="O40" i="7"/>
  <c r="O34" i="7"/>
  <c r="O39" i="7"/>
  <c r="O38" i="7"/>
  <c r="P38" i="7" s="1"/>
  <c r="O37" i="7"/>
  <c r="P37" i="7" s="1"/>
  <c r="O35" i="7"/>
  <c r="O31" i="7"/>
  <c r="P31" i="7" s="1"/>
  <c r="O28" i="7"/>
  <c r="O104" i="7"/>
  <c r="P104" i="7" s="1"/>
  <c r="O99" i="7"/>
  <c r="P99" i="7" s="1"/>
  <c r="O19" i="7"/>
  <c r="P19" i="7" s="1"/>
  <c r="O17" i="7"/>
  <c r="O16" i="7"/>
  <c r="O27" i="7" s="1"/>
  <c r="O11" i="7"/>
  <c r="P11" i="7" s="1"/>
  <c r="O10" i="7"/>
  <c r="P10" i="7" s="1"/>
  <c r="O12" i="7"/>
  <c r="P12" i="7" s="1"/>
  <c r="H30" i="2"/>
  <c r="I30" i="2" s="1"/>
  <c r="J30" i="2" s="1"/>
  <c r="R11" i="2"/>
  <c r="R10" i="2"/>
  <c r="T10" i="2"/>
  <c r="T11" i="2"/>
  <c r="AC10" i="2"/>
  <c r="AC11" i="2"/>
  <c r="AD10" i="2"/>
  <c r="AD11" i="2"/>
  <c r="AA10" i="2"/>
  <c r="AA11" i="2"/>
  <c r="O19" i="8"/>
  <c r="O17" i="8"/>
  <c r="Y16" i="10"/>
  <c r="X18" i="8"/>
  <c r="O103" i="7"/>
  <c r="O102" i="7"/>
  <c r="O98" i="7"/>
  <c r="P98" i="7" s="1"/>
  <c r="O14" i="7"/>
  <c r="O15" i="7"/>
  <c r="U20" i="8"/>
  <c r="V20" i="8" s="1"/>
  <c r="F10" i="2"/>
  <c r="F11" i="2"/>
  <c r="R13" i="10"/>
  <c r="E20" i="8"/>
  <c r="D20" i="8" s="1"/>
  <c r="F20" i="8"/>
  <c r="AB16" i="11"/>
  <c r="S22" i="11"/>
  <c r="S35" i="11"/>
  <c r="S36" i="11" s="1"/>
  <c r="S37" i="11" s="1"/>
  <c r="S38" i="11" s="1"/>
  <c r="S39" i="11" s="1"/>
  <c r="S40" i="11" s="1"/>
  <c r="J8" i="10"/>
  <c r="O20" i="8"/>
  <c r="U25" i="6"/>
  <c r="O14" i="8"/>
  <c r="P14" i="8" s="1"/>
  <c r="O15" i="8"/>
  <c r="O16" i="8"/>
  <c r="P16" i="8" s="1"/>
  <c r="R16" i="8" s="1"/>
  <c r="O18" i="8"/>
  <c r="G19" i="11"/>
  <c r="H14" i="11"/>
  <c r="U47" i="6"/>
  <c r="T30" i="6"/>
  <c r="U30" i="6"/>
  <c r="U46" i="6"/>
  <c r="E33" i="11"/>
  <c r="E18" i="11"/>
  <c r="S71" i="5"/>
  <c r="U16" i="6"/>
  <c r="U18" i="6"/>
  <c r="U17" i="6"/>
  <c r="U35" i="6"/>
  <c r="L28" i="6"/>
  <c r="T31" i="6"/>
  <c r="U31" i="6"/>
  <c r="T16" i="6"/>
  <c r="T12" i="6"/>
  <c r="T18" i="6"/>
  <c r="T23" i="6"/>
  <c r="U23" i="6"/>
  <c r="T37" i="6"/>
  <c r="U37" i="6"/>
  <c r="T29" i="6"/>
  <c r="U29" i="6"/>
  <c r="T26" i="6"/>
  <c r="U26" i="6"/>
  <c r="U27" i="6"/>
  <c r="T10" i="6"/>
  <c r="U32" i="6"/>
  <c r="U11" i="6"/>
  <c r="T11" i="6"/>
  <c r="T27" i="6"/>
  <c r="T28" i="6"/>
  <c r="U28" i="6"/>
  <c r="T35" i="6"/>
  <c r="U45" i="6"/>
  <c r="T45" i="6"/>
  <c r="L16" i="11"/>
  <c r="T15" i="11"/>
  <c r="C19" i="11"/>
  <c r="H31" i="2"/>
  <c r="I31" i="2" s="1"/>
  <c r="J31" i="2" s="1"/>
  <c r="T13" i="10"/>
  <c r="AB14" i="2"/>
  <c r="H15" i="2"/>
  <c r="I15" i="2" s="1"/>
  <c r="J15" i="2" s="1"/>
  <c r="B40" i="5" l="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37" i="5"/>
  <c r="B38" i="5" s="1"/>
  <c r="B39" i="5" s="1"/>
  <c r="M16" i="11"/>
  <c r="S11" i="11"/>
  <c r="J36" i="10"/>
  <c r="AB15" i="2"/>
  <c r="AB16" i="2" s="1"/>
  <c r="AB17" i="2" s="1"/>
  <c r="AB18" i="2" s="1"/>
  <c r="AG14" i="10"/>
  <c r="P13" i="11"/>
  <c r="X13" i="11"/>
  <c r="Q18" i="11"/>
  <c r="R18" i="11" s="1"/>
  <c r="R17" i="11"/>
  <c r="M17" i="11" s="1"/>
  <c r="G22" i="5"/>
  <c r="AC277" i="7"/>
  <c r="AC278" i="7" s="1"/>
  <c r="AC279" i="7" s="1"/>
  <c r="AC280" i="7" s="1"/>
  <c r="AC281" i="7" s="1"/>
  <c r="AC282" i="7" s="1"/>
  <c r="AC283" i="7" s="1"/>
  <c r="AC284" i="7" s="1"/>
  <c r="AC285" i="7" s="1"/>
  <c r="AC286" i="7" s="1"/>
  <c r="AC287" i="7" s="1"/>
  <c r="AC288" i="7" s="1"/>
  <c r="AC289" i="7" s="1"/>
  <c r="AC290" i="7" s="1"/>
  <c r="AC291" i="7" s="1"/>
  <c r="AC292" i="7" s="1"/>
  <c r="AF15" i="10"/>
  <c r="AG15" i="10" s="1"/>
  <c r="AC15" i="10"/>
  <c r="AA23" i="5"/>
  <c r="AA24" i="5" s="1"/>
  <c r="AA25" i="5" s="1"/>
  <c r="AA26" i="5" s="1"/>
  <c r="AA27" i="5" s="1"/>
  <c r="AA28" i="5" s="1"/>
  <c r="AA29" i="5" s="1"/>
  <c r="AA30" i="5" s="1"/>
  <c r="AA31" i="5" s="1"/>
  <c r="AA32" i="5" s="1"/>
  <c r="AA33" i="5" s="1"/>
  <c r="AA34" i="5" s="1"/>
  <c r="AA35" i="5" s="1"/>
  <c r="AA36" i="5" s="1"/>
  <c r="AA39" i="5" s="1"/>
  <c r="AA40" i="5" s="1"/>
  <c r="AA41" i="5" s="1"/>
  <c r="AA42" i="5" s="1"/>
  <c r="AA43" i="5" s="1"/>
  <c r="AA44" i="5" s="1"/>
  <c r="AA45" i="5" s="1"/>
  <c r="AA46" i="5" s="1"/>
  <c r="AA47" i="5" s="1"/>
  <c r="AA48" i="5" s="1"/>
  <c r="AA49" i="5" s="1"/>
  <c r="AA50" i="5" s="1"/>
  <c r="AA51" i="5" s="1"/>
  <c r="AA52" i="5" s="1"/>
  <c r="AA53" i="5" s="1"/>
  <c r="AA54" i="5" s="1"/>
  <c r="AA55" i="5" s="1"/>
  <c r="AA56" i="5" s="1"/>
  <c r="AA57" i="5" s="1"/>
  <c r="AA58" i="5" s="1"/>
  <c r="AA60" i="5" s="1"/>
  <c r="AA61" i="5" s="1"/>
  <c r="AA62" i="5" s="1"/>
  <c r="AA63" i="5" s="1"/>
  <c r="AA64" i="5" s="1"/>
  <c r="AA65" i="5" s="1"/>
  <c r="AA66" i="5" s="1"/>
  <c r="AA67" i="5" s="1"/>
  <c r="AA68" i="5" s="1"/>
  <c r="AA69" i="5" s="1"/>
  <c r="AA70" i="5" s="1"/>
  <c r="AA71" i="5" s="1"/>
  <c r="AA72" i="5" s="1"/>
  <c r="AA73" i="5" s="1"/>
  <c r="AA74" i="5" s="1"/>
  <c r="AA75" i="5" s="1"/>
  <c r="AA76" i="5" s="1"/>
  <c r="AA77" i="5" s="1"/>
  <c r="AA78" i="5" s="1"/>
  <c r="P15" i="8"/>
  <c r="R15" i="8" s="1"/>
  <c r="P18" i="8"/>
  <c r="R18" i="8" s="1"/>
  <c r="P17" i="8"/>
  <c r="R17" i="8" s="1"/>
  <c r="P20" i="8"/>
  <c r="R20" i="8" s="1"/>
  <c r="P19" i="8"/>
  <c r="R19" i="8" s="1"/>
  <c r="Y17" i="10"/>
  <c r="Y18" i="10" s="1"/>
  <c r="X19" i="8"/>
  <c r="P66" i="7"/>
  <c r="P45" i="7"/>
  <c r="P102" i="7"/>
  <c r="P49" i="7"/>
  <c r="P103" i="7"/>
  <c r="P40" i="7"/>
  <c r="P34" i="7"/>
  <c r="P39" i="7"/>
  <c r="P35" i="7"/>
  <c r="P30" i="7"/>
  <c r="P28" i="7"/>
  <c r="P16" i="7"/>
  <c r="P27" i="7"/>
  <c r="P15" i="7"/>
  <c r="P17" i="7"/>
  <c r="P9" i="10"/>
  <c r="P10" i="10"/>
  <c r="J9" i="10"/>
  <c r="J10" i="10"/>
  <c r="I14" i="11"/>
  <c r="S10" i="11"/>
  <c r="N21" i="8"/>
  <c r="T22" i="5" s="1"/>
  <c r="G9" i="11"/>
  <c r="S23" i="11"/>
  <c r="T16" i="11"/>
  <c r="AA18" i="11"/>
  <c r="AL17" i="10" s="1"/>
  <c r="AB17" i="11"/>
  <c r="G20" i="11"/>
  <c r="N22" i="8" s="1"/>
  <c r="E34" i="11"/>
  <c r="F35" i="10"/>
  <c r="E19" i="11"/>
  <c r="K9" i="2"/>
  <c r="S13" i="10"/>
  <c r="C20" i="11"/>
  <c r="H32" i="2"/>
  <c r="I32" i="2" s="1"/>
  <c r="J32" i="2" s="1"/>
  <c r="C20" i="10"/>
  <c r="L17" i="11"/>
  <c r="H16" i="2"/>
  <c r="I16" i="2" s="1"/>
  <c r="J16" i="2" s="1"/>
  <c r="U16" i="11" l="1"/>
  <c r="N16" i="11"/>
  <c r="N17" i="11" s="1"/>
  <c r="E36" i="11"/>
  <c r="F36" i="10"/>
  <c r="J37" i="10"/>
  <c r="AB19" i="2"/>
  <c r="AB20" i="2" s="1"/>
  <c r="AB21" i="2" s="1"/>
  <c r="AB23" i="2" s="1"/>
  <c r="AB24" i="2" s="1"/>
  <c r="AB25" i="2" s="1"/>
  <c r="AB26" i="2" s="1"/>
  <c r="AB27" i="2" s="1"/>
  <c r="AB28" i="2" s="1"/>
  <c r="AB29" i="2" s="1"/>
  <c r="AB30" i="2" s="1"/>
  <c r="AB31" i="2" s="1"/>
  <c r="AB32" i="2" s="1"/>
  <c r="AB33" i="2" s="1"/>
  <c r="AB34" i="2" s="1"/>
  <c r="AB9" i="2"/>
  <c r="AC293" i="7"/>
  <c r="AC294" i="7" s="1"/>
  <c r="AC295" i="7" s="1"/>
  <c r="AC303" i="7" s="1"/>
  <c r="AC304" i="7" s="1"/>
  <c r="AC296" i="7" s="1"/>
  <c r="AC297" i="7" s="1"/>
  <c r="AC298" i="7" s="1"/>
  <c r="AC299" i="7" s="1"/>
  <c r="AC300" i="7" s="1"/>
  <c r="AC301" i="7" s="1"/>
  <c r="AC302" i="7" s="1"/>
  <c r="AC305" i="7" s="1"/>
  <c r="AC306" i="7" s="1"/>
  <c r="AC307" i="7" s="1"/>
  <c r="AC308" i="7" s="1"/>
  <c r="AC309" i="7" s="1"/>
  <c r="AC310" i="7" s="1"/>
  <c r="AC311" i="7" s="1"/>
  <c r="AC312" i="7" s="1"/>
  <c r="AC313" i="7" s="1"/>
  <c r="AC314" i="7" s="1"/>
  <c r="AC315" i="7" s="1"/>
  <c r="AC316" i="7" s="1"/>
  <c r="AC317" i="7" s="1"/>
  <c r="AC318" i="7" s="1"/>
  <c r="AC319" i="7" s="1"/>
  <c r="AC320" i="7" s="1"/>
  <c r="AC321" i="7" s="1"/>
  <c r="AC322" i="7" s="1"/>
  <c r="AC323" i="7" s="1"/>
  <c r="AC324" i="7" s="1"/>
  <c r="AC325" i="7" s="1"/>
  <c r="AC326" i="7" s="1"/>
  <c r="AC327" i="7" s="1"/>
  <c r="AC328" i="7" s="1"/>
  <c r="M18" i="11"/>
  <c r="U17" i="11"/>
  <c r="AK17" i="10"/>
  <c r="AK18" i="10" s="1"/>
  <c r="AK19" i="10" s="1"/>
  <c r="AK20" i="10" s="1"/>
  <c r="AK21" i="10" s="1"/>
  <c r="AK22" i="10" s="1"/>
  <c r="AK23" i="10" s="1"/>
  <c r="AK24" i="10" s="1"/>
  <c r="AK25" i="10" s="1"/>
  <c r="AK26" i="10" s="1"/>
  <c r="AK27" i="10" s="1"/>
  <c r="AK28" i="10" s="1"/>
  <c r="AM17" i="10"/>
  <c r="AM18" i="10" s="1"/>
  <c r="AF16" i="10"/>
  <c r="AG16" i="10" s="1"/>
  <c r="AC16" i="10"/>
  <c r="J22" i="5"/>
  <c r="Y22" i="5"/>
  <c r="Z22" i="5"/>
  <c r="N10" i="8"/>
  <c r="H19" i="6"/>
  <c r="AB10" i="2"/>
  <c r="AB11" i="2"/>
  <c r="F10" i="10"/>
  <c r="X20" i="8"/>
  <c r="T10" i="8"/>
  <c r="E11" i="2"/>
  <c r="E10" i="2"/>
  <c r="K37" i="8"/>
  <c r="P24" i="5" s="1"/>
  <c r="F9" i="10"/>
  <c r="E9" i="11"/>
  <c r="T17" i="11"/>
  <c r="AB18" i="11"/>
  <c r="M21" i="8"/>
  <c r="S25" i="11"/>
  <c r="E35" i="11"/>
  <c r="E11" i="11" s="1"/>
  <c r="E20" i="11"/>
  <c r="G21" i="11"/>
  <c r="N23" i="8" s="1"/>
  <c r="U9" i="2"/>
  <c r="P14" i="7"/>
  <c r="C21" i="11"/>
  <c r="H33" i="2"/>
  <c r="I33" i="2" s="1"/>
  <c r="J33" i="2" s="1"/>
  <c r="S24" i="5"/>
  <c r="C21" i="10"/>
  <c r="L18" i="11"/>
  <c r="H17" i="2"/>
  <c r="I17" i="2" s="1"/>
  <c r="J17" i="2" s="1"/>
  <c r="N18" i="11" l="1"/>
  <c r="J21" i="8"/>
  <c r="M22" i="8"/>
  <c r="E37" i="11"/>
  <c r="F37" i="10"/>
  <c r="J38" i="10"/>
  <c r="M19" i="11"/>
  <c r="U18" i="11"/>
  <c r="AM19" i="10"/>
  <c r="AM20" i="10" s="1"/>
  <c r="AM21" i="10" s="1"/>
  <c r="AM22" i="10" s="1"/>
  <c r="AM23" i="10" s="1"/>
  <c r="AM24" i="10" s="1"/>
  <c r="X21" i="8"/>
  <c r="X10" i="8" s="1"/>
  <c r="AF17" i="10"/>
  <c r="AG17" i="10" s="1"/>
  <c r="AC17" i="10"/>
  <c r="Y8" i="10"/>
  <c r="M24" i="7"/>
  <c r="I22" i="5"/>
  <c r="J23" i="5"/>
  <c r="I23" i="5" s="1"/>
  <c r="L10" i="8"/>
  <c r="N22" i="5"/>
  <c r="Y19" i="10"/>
  <c r="I34" i="2"/>
  <c r="H11" i="2"/>
  <c r="K11" i="8"/>
  <c r="K12" i="8"/>
  <c r="E10" i="11"/>
  <c r="S26" i="11"/>
  <c r="AB19" i="11"/>
  <c r="T18" i="11"/>
  <c r="G22" i="11"/>
  <c r="N24" i="8" s="1"/>
  <c r="C22" i="11"/>
  <c r="C22" i="10"/>
  <c r="L19" i="11"/>
  <c r="L9" i="11" s="1"/>
  <c r="N24" i="7" l="1"/>
  <c r="Q24" i="7"/>
  <c r="N19" i="11"/>
  <c r="J22" i="8"/>
  <c r="E38" i="11"/>
  <c r="F38" i="10"/>
  <c r="J39" i="10"/>
  <c r="U19" i="11"/>
  <c r="M20" i="11"/>
  <c r="U20" i="11" s="1"/>
  <c r="M9" i="11"/>
  <c r="AM25" i="10"/>
  <c r="AM26" i="10" s="1"/>
  <c r="AM27" i="10" s="1"/>
  <c r="AM28" i="10" s="1"/>
  <c r="AB9" i="11"/>
  <c r="N23" i="5"/>
  <c r="M25" i="7"/>
  <c r="Q25" i="7" s="1"/>
  <c r="O24" i="7"/>
  <c r="Y20" i="10"/>
  <c r="X22" i="8"/>
  <c r="J34" i="2"/>
  <c r="I11" i="2"/>
  <c r="T19" i="11"/>
  <c r="AB20" i="11"/>
  <c r="M23" i="8"/>
  <c r="S28" i="11"/>
  <c r="G23" i="11"/>
  <c r="N25" i="8" s="1"/>
  <c r="C23" i="11"/>
  <c r="C23" i="10"/>
  <c r="L20" i="11"/>
  <c r="H18" i="2"/>
  <c r="S22" i="5" s="1"/>
  <c r="H19" i="2"/>
  <c r="I19" i="2" s="1"/>
  <c r="J19" i="2" s="1"/>
  <c r="N20" i="11" l="1"/>
  <c r="J23" i="8"/>
  <c r="F39" i="10"/>
  <c r="E40" i="11" s="1"/>
  <c r="E39" i="11"/>
  <c r="U9" i="11"/>
  <c r="T11" i="8"/>
  <c r="J24" i="5"/>
  <c r="T12" i="8"/>
  <c r="AC100" i="7"/>
  <c r="AC101" i="7" s="1"/>
  <c r="AC102" i="7" s="1"/>
  <c r="AC103" i="7" s="1"/>
  <c r="AC104" i="7" s="1"/>
  <c r="AC105" i="7" s="1"/>
  <c r="AC106" i="7" s="1"/>
  <c r="AC107" i="7" s="1"/>
  <c r="AC108" i="7" s="1"/>
  <c r="AC109" i="7" s="1"/>
  <c r="AC110" i="7" s="1"/>
  <c r="AC111" i="7" s="1"/>
  <c r="AC112" i="7" s="1"/>
  <c r="AC113" i="7" s="1"/>
  <c r="AC114" i="7" s="1"/>
  <c r="AC115" i="7" s="1"/>
  <c r="AC116" i="7" s="1"/>
  <c r="AC117" i="7" s="1"/>
  <c r="AC118" i="7" s="1"/>
  <c r="AC119" i="7" s="1"/>
  <c r="AC120" i="7" s="1"/>
  <c r="AC121" i="7" s="1"/>
  <c r="AC122" i="7" s="1"/>
  <c r="AC123" i="7" s="1"/>
  <c r="AC124" i="7" s="1"/>
  <c r="AC125" i="7" s="1"/>
  <c r="AC126" i="7" s="1"/>
  <c r="AC127" i="7" s="1"/>
  <c r="AC128" i="7" s="1"/>
  <c r="AC129" i="7" s="1"/>
  <c r="AC19" i="10"/>
  <c r="AI19" i="10" s="1"/>
  <c r="AB19" i="10" s="1"/>
  <c r="AK8" i="10"/>
  <c r="AF18" i="10"/>
  <c r="AC18" i="10"/>
  <c r="AF19" i="10"/>
  <c r="N25" i="7"/>
  <c r="P24" i="7"/>
  <c r="Y21" i="10"/>
  <c r="X23" i="8"/>
  <c r="H9" i="2"/>
  <c r="H10" i="2"/>
  <c r="J11" i="2"/>
  <c r="T9" i="11"/>
  <c r="S29" i="11"/>
  <c r="M24" i="8"/>
  <c r="T20" i="11"/>
  <c r="AB21" i="11"/>
  <c r="G24" i="11"/>
  <c r="N26" i="8" s="1"/>
  <c r="C24" i="11"/>
  <c r="C24" i="10"/>
  <c r="L21" i="11"/>
  <c r="H20" i="2"/>
  <c r="I20" i="2" s="1"/>
  <c r="J20" i="2" s="1"/>
  <c r="J24" i="8" l="1"/>
  <c r="AG19" i="10"/>
  <c r="AF8" i="10"/>
  <c r="AG18" i="10"/>
  <c r="I24" i="5"/>
  <c r="N24" i="5"/>
  <c r="AN19" i="10"/>
  <c r="Y20" i="11" s="1"/>
  <c r="W20" i="11" s="1"/>
  <c r="AD19" i="10"/>
  <c r="AC20" i="10"/>
  <c r="AI20" i="10" s="1"/>
  <c r="AB20" i="10" s="1"/>
  <c r="AF20" i="10"/>
  <c r="AG20" i="10" s="1"/>
  <c r="AC8" i="10"/>
  <c r="Y22" i="10"/>
  <c r="X24" i="8"/>
  <c r="J18" i="2"/>
  <c r="I9" i="2"/>
  <c r="I10" i="2"/>
  <c r="T21" i="11"/>
  <c r="AB22" i="11"/>
  <c r="M25" i="8"/>
  <c r="G25" i="11"/>
  <c r="N27" i="8" s="1"/>
  <c r="C25" i="11"/>
  <c r="C25" i="10"/>
  <c r="L22" i="11"/>
  <c r="M26" i="8" l="1"/>
  <c r="J25" i="8"/>
  <c r="AH19" i="10"/>
  <c r="AJ20" i="10"/>
  <c r="AN20" i="10"/>
  <c r="AD20" i="10"/>
  <c r="AF21" i="10"/>
  <c r="AG21" i="10" s="1"/>
  <c r="AC21" i="10"/>
  <c r="AI21" i="10" s="1"/>
  <c r="AB21" i="10" s="1"/>
  <c r="H20" i="6"/>
  <c r="T23" i="5"/>
  <c r="Y23" i="10"/>
  <c r="X25" i="8"/>
  <c r="J9" i="2"/>
  <c r="J10" i="2"/>
  <c r="T22" i="11"/>
  <c r="AB23" i="11"/>
  <c r="G26" i="11"/>
  <c r="N28" i="8" s="1"/>
  <c r="C26" i="11"/>
  <c r="C26" i="10"/>
  <c r="L23" i="11"/>
  <c r="H22" i="2"/>
  <c r="I22" i="2" s="1"/>
  <c r="J22" i="2" s="1"/>
  <c r="H21" i="2"/>
  <c r="I21" i="2" s="1"/>
  <c r="J21" i="2" s="1"/>
  <c r="M27" i="8" l="1"/>
  <c r="J26" i="8"/>
  <c r="AO20" i="10"/>
  <c r="Y21" i="11"/>
  <c r="Z21" i="11" s="1"/>
  <c r="R21" i="11" s="1"/>
  <c r="M21" i="11" s="1"/>
  <c r="N21" i="11" s="1"/>
  <c r="AH20" i="10"/>
  <c r="AE20" i="10"/>
  <c r="AD21" i="10"/>
  <c r="AJ21" i="10"/>
  <c r="AN21" i="10"/>
  <c r="AF22" i="10"/>
  <c r="AG22" i="10" s="1"/>
  <c r="AC22" i="10"/>
  <c r="AI22" i="10" s="1"/>
  <c r="AB22" i="10" s="1"/>
  <c r="Y23" i="5"/>
  <c r="Z23" i="5"/>
  <c r="O25" i="7"/>
  <c r="P25" i="7" s="1"/>
  <c r="Y24" i="10"/>
  <c r="X26" i="8"/>
  <c r="AB24" i="11"/>
  <c r="T23" i="11"/>
  <c r="G27" i="11"/>
  <c r="N29" i="8" s="1"/>
  <c r="C27" i="11"/>
  <c r="C27" i="10"/>
  <c r="L24" i="11"/>
  <c r="U21" i="11" l="1"/>
  <c r="W21" i="11" s="1"/>
  <c r="M28" i="8"/>
  <c r="J27" i="8"/>
  <c r="AO21" i="10"/>
  <c r="Y22" i="11"/>
  <c r="Z22" i="11" s="1"/>
  <c r="R22" i="11" s="1"/>
  <c r="AH21" i="10"/>
  <c r="AE21" i="10"/>
  <c r="AD22" i="10"/>
  <c r="AJ22" i="10"/>
  <c r="AN22" i="10"/>
  <c r="AF23" i="10"/>
  <c r="AG23" i="10" s="1"/>
  <c r="AC23" i="10"/>
  <c r="AI23" i="10" s="1"/>
  <c r="AB23" i="10" s="1"/>
  <c r="Y25" i="10"/>
  <c r="Y26" i="10" s="1"/>
  <c r="X27" i="8"/>
  <c r="T24" i="11"/>
  <c r="AB25" i="11"/>
  <c r="G28" i="11"/>
  <c r="N30" i="8" s="1"/>
  <c r="C28" i="11"/>
  <c r="C29" i="10"/>
  <c r="L25" i="11"/>
  <c r="H23" i="2"/>
  <c r="I23" i="2" s="1"/>
  <c r="J23" i="2" s="1"/>
  <c r="M22" i="11" l="1"/>
  <c r="J28" i="8"/>
  <c r="M29" i="8"/>
  <c r="AO22" i="10"/>
  <c r="Y23" i="11"/>
  <c r="Z23" i="11" s="1"/>
  <c r="R23" i="11" s="1"/>
  <c r="M23" i="11" s="1"/>
  <c r="U23" i="11" s="1"/>
  <c r="W23" i="11" s="1"/>
  <c r="AH22" i="10"/>
  <c r="AE22" i="10"/>
  <c r="AD23" i="10"/>
  <c r="AJ23" i="10"/>
  <c r="AN23" i="10"/>
  <c r="AF24" i="10"/>
  <c r="AG24" i="10" s="1"/>
  <c r="AC24" i="10"/>
  <c r="AI24" i="10" s="1"/>
  <c r="X28" i="8"/>
  <c r="T25" i="11"/>
  <c r="AB26" i="11"/>
  <c r="AA30" i="11"/>
  <c r="G29" i="11"/>
  <c r="N31" i="8" s="1"/>
  <c r="C30" i="11"/>
  <c r="C30" i="10"/>
  <c r="L26" i="11"/>
  <c r="H24" i="2"/>
  <c r="U22" i="11" l="1"/>
  <c r="W22" i="11" s="1"/>
  <c r="N22" i="11"/>
  <c r="N23" i="11" s="1"/>
  <c r="J29" i="8"/>
  <c r="M30" i="8"/>
  <c r="AO23" i="10"/>
  <c r="Y24" i="11"/>
  <c r="Z24" i="11" s="1"/>
  <c r="R24" i="11" s="1"/>
  <c r="M24" i="11" s="1"/>
  <c r="U24" i="11" s="1"/>
  <c r="W24" i="11" s="1"/>
  <c r="AL29" i="10"/>
  <c r="Q30" i="11"/>
  <c r="AA31" i="11"/>
  <c r="AH23" i="10"/>
  <c r="AE23" i="10"/>
  <c r="I24" i="2"/>
  <c r="J24" i="2" s="1"/>
  <c r="S23" i="5"/>
  <c r="AB24" i="10"/>
  <c r="AD24" i="10"/>
  <c r="AE24" i="10" s="1"/>
  <c r="AN24" i="10"/>
  <c r="Y25" i="11" s="1"/>
  <c r="Z25" i="11" s="1"/>
  <c r="R25" i="11" s="1"/>
  <c r="AJ24" i="10"/>
  <c r="AF25" i="10"/>
  <c r="AG25" i="10" s="1"/>
  <c r="AC25" i="10"/>
  <c r="AI25" i="10" s="1"/>
  <c r="AB25" i="10" s="1"/>
  <c r="Q11" i="8"/>
  <c r="Q12" i="8"/>
  <c r="Y27" i="10"/>
  <c r="X29" i="8"/>
  <c r="T26" i="11"/>
  <c r="AB27" i="11"/>
  <c r="G30" i="11"/>
  <c r="N32" i="8" s="1"/>
  <c r="C31" i="11"/>
  <c r="C31" i="10"/>
  <c r="C32" i="10" s="1"/>
  <c r="C33" i="10" s="1"/>
  <c r="C34" i="10" s="1"/>
  <c r="C35" i="10" s="1"/>
  <c r="L27" i="11"/>
  <c r="H25" i="2"/>
  <c r="I25" i="2" s="1"/>
  <c r="J25" i="2" s="1"/>
  <c r="N24" i="11" l="1"/>
  <c r="J30" i="8"/>
  <c r="M31" i="8"/>
  <c r="C36" i="11"/>
  <c r="C36" i="10"/>
  <c r="AK29" i="10"/>
  <c r="AM29" i="10"/>
  <c r="M25" i="11"/>
  <c r="AL30" i="10"/>
  <c r="Q31" i="11"/>
  <c r="AA32" i="11"/>
  <c r="AH24" i="10"/>
  <c r="AO24" i="10"/>
  <c r="AD25" i="10"/>
  <c r="AJ25" i="10"/>
  <c r="AN25" i="10"/>
  <c r="AF26" i="10"/>
  <c r="AG26" i="10" s="1"/>
  <c r="AC26" i="10"/>
  <c r="AI26" i="10" s="1"/>
  <c r="AB26" i="10" s="1"/>
  <c r="Y28" i="10"/>
  <c r="X30" i="8"/>
  <c r="T27" i="11"/>
  <c r="AB28" i="11"/>
  <c r="G31" i="11"/>
  <c r="N33" i="8" s="1"/>
  <c r="C32" i="11"/>
  <c r="L28" i="11"/>
  <c r="H26" i="2"/>
  <c r="I26" i="2" s="1"/>
  <c r="J26" i="2" s="1"/>
  <c r="N25" i="11" l="1"/>
  <c r="J31" i="8"/>
  <c r="M32" i="8"/>
  <c r="C37" i="11"/>
  <c r="C37" i="10"/>
  <c r="U25" i="11"/>
  <c r="AK30" i="10"/>
  <c r="AM30" i="10"/>
  <c r="AO25" i="10"/>
  <c r="Y26" i="11"/>
  <c r="Z26" i="11" s="1"/>
  <c r="R26" i="11" s="1"/>
  <c r="M26" i="11" s="1"/>
  <c r="U26" i="11" s="1"/>
  <c r="W26" i="11" s="1"/>
  <c r="AH25" i="10"/>
  <c r="AE25" i="10"/>
  <c r="AL31" i="10"/>
  <c r="Q32" i="11"/>
  <c r="AA33" i="11"/>
  <c r="AD26" i="10"/>
  <c r="AJ26" i="10"/>
  <c r="AN26" i="10"/>
  <c r="AF27" i="10"/>
  <c r="AG27" i="10" s="1"/>
  <c r="AC27" i="10"/>
  <c r="Y29" i="10"/>
  <c r="X31" i="8"/>
  <c r="T28" i="11"/>
  <c r="AB29" i="11"/>
  <c r="G32" i="11"/>
  <c r="N34" i="8" s="1"/>
  <c r="C33" i="11"/>
  <c r="L29" i="11"/>
  <c r="H27" i="2"/>
  <c r="I27" i="2" s="1"/>
  <c r="J27" i="2" s="1"/>
  <c r="N26" i="11" l="1"/>
  <c r="M33" i="8"/>
  <c r="J32" i="8"/>
  <c r="C38" i="11"/>
  <c r="C38" i="10"/>
  <c r="AK31" i="10"/>
  <c r="W25" i="11"/>
  <c r="AM31" i="10"/>
  <c r="AO26" i="10"/>
  <c r="Y27" i="11"/>
  <c r="Z27" i="11" s="1"/>
  <c r="R27" i="11" s="1"/>
  <c r="M27" i="11" s="1"/>
  <c r="U27" i="11" s="1"/>
  <c r="W27" i="11" s="1"/>
  <c r="AA34" i="11"/>
  <c r="AL32" i="10"/>
  <c r="Q33" i="11"/>
  <c r="AH26" i="10"/>
  <c r="AE26" i="10"/>
  <c r="AF28" i="10"/>
  <c r="AG28" i="10" s="1"/>
  <c r="AC28" i="10"/>
  <c r="Y30" i="10"/>
  <c r="X32" i="8"/>
  <c r="T29" i="11"/>
  <c r="AB30" i="11"/>
  <c r="AA35" i="11"/>
  <c r="AA36" i="11" s="1"/>
  <c r="G33" i="11"/>
  <c r="N35" i="8" s="1"/>
  <c r="C34" i="11"/>
  <c r="L30" i="11"/>
  <c r="H28" i="2"/>
  <c r="I28" i="2" s="1"/>
  <c r="J28" i="2" s="1"/>
  <c r="N27" i="11" l="1"/>
  <c r="AA37" i="11"/>
  <c r="AL35" i="10"/>
  <c r="Q36" i="11"/>
  <c r="M34" i="8"/>
  <c r="J33" i="8"/>
  <c r="C39" i="11"/>
  <c r="C39" i="10"/>
  <c r="C40" i="11" s="1"/>
  <c r="AK32" i="10"/>
  <c r="AM32" i="10"/>
  <c r="AL34" i="10"/>
  <c r="Q35" i="11"/>
  <c r="AL33" i="10"/>
  <c r="Q34" i="11"/>
  <c r="AF29" i="10"/>
  <c r="AG29" i="10" s="1"/>
  <c r="AC29" i="10"/>
  <c r="AI29" i="10" s="1"/>
  <c r="AN29" i="10" s="1"/>
  <c r="Y30" i="11" s="1"/>
  <c r="Y31" i="10"/>
  <c r="Y32" i="10" s="1"/>
  <c r="X33" i="8"/>
  <c r="T30" i="11"/>
  <c r="AB31" i="11"/>
  <c r="G34" i="11"/>
  <c r="N36" i="8" s="1"/>
  <c r="C35" i="11"/>
  <c r="L31" i="11"/>
  <c r="H29" i="2"/>
  <c r="I29" i="2" s="1"/>
  <c r="J29" i="2" s="1"/>
  <c r="M35" i="8" l="1"/>
  <c r="J34" i="8"/>
  <c r="Q37" i="11"/>
  <c r="AL36" i="10"/>
  <c r="AA38" i="11"/>
  <c r="AK33" i="10"/>
  <c r="AK34" i="10"/>
  <c r="AK35" i="10" s="1"/>
  <c r="AM33" i="10"/>
  <c r="AB29" i="10"/>
  <c r="AD29" i="10"/>
  <c r="AC30" i="10"/>
  <c r="AI30" i="10" s="1"/>
  <c r="AB30" i="10" s="1"/>
  <c r="AF30" i="10"/>
  <c r="AG30" i="10" s="1"/>
  <c r="L11" i="8"/>
  <c r="L12" i="8"/>
  <c r="X34" i="8"/>
  <c r="T31" i="11"/>
  <c r="AB32" i="11"/>
  <c r="G35" i="11"/>
  <c r="L32" i="11"/>
  <c r="G11" i="11" l="1"/>
  <c r="G36" i="11"/>
  <c r="G37" i="11" s="1"/>
  <c r="G38" i="11" s="1"/>
  <c r="G39" i="11" s="1"/>
  <c r="G40" i="11" s="1"/>
  <c r="AL37" i="10"/>
  <c r="AA39" i="11"/>
  <c r="Q38" i="11"/>
  <c r="M36" i="8"/>
  <c r="J35" i="8"/>
  <c r="AM34" i="10"/>
  <c r="AM35" i="10" s="1"/>
  <c r="AM36" i="10" s="1"/>
  <c r="AM37" i="10" s="1"/>
  <c r="AK36" i="10"/>
  <c r="AH29" i="10"/>
  <c r="AJ30" i="10"/>
  <c r="AD30" i="10"/>
  <c r="AN30" i="10"/>
  <c r="AF31" i="10"/>
  <c r="AG31" i="10" s="1"/>
  <c r="AC31" i="10"/>
  <c r="AI31" i="10" s="1"/>
  <c r="AB31" i="10" s="1"/>
  <c r="Y33" i="10"/>
  <c r="X35" i="8"/>
  <c r="N37" i="8"/>
  <c r="G10" i="11"/>
  <c r="T32" i="11"/>
  <c r="AB33" i="11"/>
  <c r="L33" i="11"/>
  <c r="M37" i="8" l="1"/>
  <c r="J37" i="8" s="1"/>
  <c r="J36" i="8"/>
  <c r="AL38" i="10"/>
  <c r="AM38" i="10" s="1"/>
  <c r="AA40" i="11"/>
  <c r="Q39" i="11"/>
  <c r="AK37" i="10"/>
  <c r="AO30" i="10"/>
  <c r="Y31" i="11"/>
  <c r="Z31" i="11" s="1"/>
  <c r="R31" i="11" s="1"/>
  <c r="AH30" i="10"/>
  <c r="AE30" i="10"/>
  <c r="AF32" i="10"/>
  <c r="AG32" i="10" s="1"/>
  <c r="AC32" i="10"/>
  <c r="AI32" i="10" s="1"/>
  <c r="AN32" i="10" s="1"/>
  <c r="AD31" i="10"/>
  <c r="AJ31" i="10"/>
  <c r="AN31" i="10"/>
  <c r="T24" i="5"/>
  <c r="H21" i="6"/>
  <c r="Y34" i="10"/>
  <c r="X36" i="8"/>
  <c r="N11" i="8"/>
  <c r="N12" i="8"/>
  <c r="AB34" i="11"/>
  <c r="T33" i="11"/>
  <c r="L34" i="11"/>
  <c r="I39" i="6"/>
  <c r="Q40" i="11" l="1"/>
  <c r="AL39" i="10"/>
  <c r="AM39" i="10" s="1"/>
  <c r="Y35" i="10"/>
  <c r="AO32" i="10"/>
  <c r="AK38" i="10"/>
  <c r="AO31" i="10"/>
  <c r="Y32" i="11"/>
  <c r="Z32" i="11" s="1"/>
  <c r="R32" i="11" s="1"/>
  <c r="AH31" i="10"/>
  <c r="AE31" i="10"/>
  <c r="AD32" i="10"/>
  <c r="AB32" i="10"/>
  <c r="AJ32" i="10"/>
  <c r="AC33" i="10"/>
  <c r="AI33" i="10" s="1"/>
  <c r="AF33" i="10"/>
  <c r="AG33" i="10" s="1"/>
  <c r="Z24" i="5"/>
  <c r="Y24" i="5"/>
  <c r="U11" i="2"/>
  <c r="U10" i="2"/>
  <c r="Y10" i="10"/>
  <c r="X37" i="8"/>
  <c r="Y9" i="10"/>
  <c r="K10" i="2"/>
  <c r="K11" i="2"/>
  <c r="AB35" i="11"/>
  <c r="AB36" i="11" s="1"/>
  <c r="AB37" i="11" s="1"/>
  <c r="AB38" i="11" s="1"/>
  <c r="AB39" i="11" s="1"/>
  <c r="AB40" i="11" s="1"/>
  <c r="L35" i="11"/>
  <c r="L36" i="11" s="1"/>
  <c r="T34" i="11"/>
  <c r="M39" i="6"/>
  <c r="J39" i="6"/>
  <c r="P39" i="6"/>
  <c r="T36" i="11" l="1"/>
  <c r="L37" i="11"/>
  <c r="Y36" i="10"/>
  <c r="AF35" i="10"/>
  <c r="AC35" i="10"/>
  <c r="AI35" i="10" s="1"/>
  <c r="AK39" i="10"/>
  <c r="AB33" i="10"/>
  <c r="AJ33" i="10"/>
  <c r="Y33" i="11"/>
  <c r="Z33" i="11" s="1"/>
  <c r="R33" i="11" s="1"/>
  <c r="AH32" i="10"/>
  <c r="AE32" i="10"/>
  <c r="AD33" i="10"/>
  <c r="AN33" i="10"/>
  <c r="AO33" i="10" s="1"/>
  <c r="AB11" i="11"/>
  <c r="L10" i="11"/>
  <c r="L11" i="11"/>
  <c r="X11" i="8"/>
  <c r="X12" i="8"/>
  <c r="AB10" i="11"/>
  <c r="J14" i="11"/>
  <c r="T35" i="11"/>
  <c r="T11" i="11" s="1"/>
  <c r="L39" i="6"/>
  <c r="T39" i="6"/>
  <c r="X46" i="6"/>
  <c r="L38" i="11" l="1"/>
  <c r="T37" i="11"/>
  <c r="AB35" i="10"/>
  <c r="AN35" i="10"/>
  <c r="AQ35" i="10"/>
  <c r="AD35" i="10"/>
  <c r="Y37" i="10"/>
  <c r="AF36" i="10"/>
  <c r="AG36" i="10" s="1"/>
  <c r="AC36" i="10"/>
  <c r="AI36" i="10" s="1"/>
  <c r="P14" i="11"/>
  <c r="X14" i="11"/>
  <c r="Y34" i="11"/>
  <c r="Z34" i="11" s="1"/>
  <c r="R34" i="11" s="1"/>
  <c r="AH33" i="10"/>
  <c r="AE33" i="10"/>
  <c r="AK10" i="10"/>
  <c r="AK9" i="10"/>
  <c r="AC34" i="10"/>
  <c r="AF34" i="10"/>
  <c r="AG34" i="10" s="1"/>
  <c r="T10" i="11"/>
  <c r="O14" i="11"/>
  <c r="T38" i="11" l="1"/>
  <c r="L39" i="11"/>
  <c r="AB36" i="10"/>
  <c r="AN36" i="10"/>
  <c r="AQ36" i="10"/>
  <c r="AJ36" i="10"/>
  <c r="AD36" i="10"/>
  <c r="Y38" i="10"/>
  <c r="AF37" i="10"/>
  <c r="AG37" i="10" s="1"/>
  <c r="AC37" i="10"/>
  <c r="AI37" i="10" s="1"/>
  <c r="AH35" i="10"/>
  <c r="Y36" i="11"/>
  <c r="AG35" i="10"/>
  <c r="AD42" i="10"/>
  <c r="AF9" i="10"/>
  <c r="AF10" i="10"/>
  <c r="AC10" i="10"/>
  <c r="AC9" i="10"/>
  <c r="AI34" i="10"/>
  <c r="O13" i="11"/>
  <c r="T39" i="11" l="1"/>
  <c r="L40" i="11"/>
  <c r="T40" i="11" s="1"/>
  <c r="AN34" i="10"/>
  <c r="AO35" i="10" s="1"/>
  <c r="AJ35" i="10"/>
  <c r="AB37" i="10"/>
  <c r="AQ37" i="10"/>
  <c r="AJ37" i="10"/>
  <c r="AD37" i="10"/>
  <c r="AN37" i="10"/>
  <c r="Y39" i="10"/>
  <c r="AF38" i="10"/>
  <c r="AG38" i="10" s="1"/>
  <c r="AC38" i="10"/>
  <c r="AI38" i="10" s="1"/>
  <c r="AE36" i="10"/>
  <c r="AH36" i="10"/>
  <c r="Y37" i="11"/>
  <c r="Z37" i="11" s="1"/>
  <c r="R37" i="11" s="1"/>
  <c r="AO36" i="10"/>
  <c r="AI10" i="10"/>
  <c r="AJ34" i="10"/>
  <c r="AB34" i="10"/>
  <c r="AQ34" i="10"/>
  <c r="AD34" i="10"/>
  <c r="P26" i="7"/>
  <c r="AE34" i="10" l="1"/>
  <c r="AE35" i="10"/>
  <c r="AN38" i="10"/>
  <c r="AQ38" i="10"/>
  <c r="AB38" i="10"/>
  <c r="AD38" i="10"/>
  <c r="AJ38" i="10"/>
  <c r="AC39" i="10"/>
  <c r="AI39" i="10" s="1"/>
  <c r="AF39" i="10"/>
  <c r="AG39" i="10" s="1"/>
  <c r="Y38" i="11"/>
  <c r="Z38" i="11" s="1"/>
  <c r="R38" i="11" s="1"/>
  <c r="AO37" i="10"/>
  <c r="AE37" i="10"/>
  <c r="AH37" i="10"/>
  <c r="Y35" i="11"/>
  <c r="Z36" i="11" s="1"/>
  <c r="R36" i="11" s="1"/>
  <c r="AH34" i="10"/>
  <c r="AD10" i="10"/>
  <c r="AB10" i="10"/>
  <c r="AO34" i="10"/>
  <c r="AN10" i="10"/>
  <c r="AB39" i="10" l="1"/>
  <c r="AD39" i="10"/>
  <c r="AN39" i="10"/>
  <c r="AQ39" i="10"/>
  <c r="AJ39" i="10"/>
  <c r="AH38" i="10"/>
  <c r="AE38" i="10"/>
  <c r="Y39" i="11"/>
  <c r="Z39" i="11" s="1"/>
  <c r="R39" i="11" s="1"/>
  <c r="AO38" i="10"/>
  <c r="Z35" i="11"/>
  <c r="R35" i="11" s="1"/>
  <c r="Y11" i="11"/>
  <c r="AH10" i="10"/>
  <c r="AE39" i="10" l="1"/>
  <c r="AH39" i="10"/>
  <c r="Y40" i="11"/>
  <c r="Z40" i="11" s="1"/>
  <c r="R40" i="11" s="1"/>
  <c r="AO39" i="10"/>
  <c r="E109" i="7"/>
  <c r="F49" i="6"/>
  <c r="E110" i="7" l="1"/>
  <c r="F50" i="6" s="1"/>
  <c r="E112" i="7"/>
  <c r="E74" i="5" l="1"/>
  <c r="C15" i="11"/>
  <c r="E14" i="10"/>
  <c r="Q14" i="10" l="1"/>
  <c r="E15" i="10"/>
  <c r="K14" i="10"/>
  <c r="G15" i="10"/>
  <c r="G14" i="10"/>
  <c r="D15" i="11"/>
  <c r="C42" i="19" l="1"/>
  <c r="D42" i="19"/>
  <c r="H15" i="10"/>
  <c r="K15" i="10"/>
  <c r="Q15" i="10"/>
  <c r="M14" i="10"/>
  <c r="E16" i="10"/>
  <c r="K16" i="10" s="1"/>
  <c r="H15" i="11"/>
  <c r="F15" i="11"/>
  <c r="D16" i="11"/>
  <c r="R14" i="10"/>
  <c r="R15" i="10"/>
  <c r="T14" i="10" l="1"/>
  <c r="D44" i="19"/>
  <c r="C44" i="19"/>
  <c r="M15" i="10"/>
  <c r="N15" i="10" s="1"/>
  <c r="L15" i="10"/>
  <c r="L16" i="10" s="1"/>
  <c r="M16" i="10"/>
  <c r="T16" i="10" s="1"/>
  <c r="G16" i="10"/>
  <c r="H16" i="10" s="1"/>
  <c r="E17" i="10"/>
  <c r="E18" i="10" s="1"/>
  <c r="Q16" i="10"/>
  <c r="R16" i="10" s="1"/>
  <c r="S16" i="10" s="1"/>
  <c r="F16" i="11"/>
  <c r="D17" i="11"/>
  <c r="H16" i="11"/>
  <c r="I16" i="11" s="1"/>
  <c r="J16" i="11" s="1"/>
  <c r="I15" i="11"/>
  <c r="J15" i="11" s="1"/>
  <c r="S15" i="10"/>
  <c r="T15" i="10"/>
  <c r="S14" i="10"/>
  <c r="D54" i="19" l="1"/>
  <c r="C54" i="19"/>
  <c r="K16" i="11"/>
  <c r="N16" i="10"/>
  <c r="P15" i="11"/>
  <c r="X15" i="11"/>
  <c r="P16" i="11"/>
  <c r="X16" i="11"/>
  <c r="G18" i="10"/>
  <c r="Q18" i="10"/>
  <c r="K17" i="10"/>
  <c r="M17" i="10" s="1"/>
  <c r="T17" i="10" s="1"/>
  <c r="Q17" i="10"/>
  <c r="R17" i="10" s="1"/>
  <c r="S17" i="10" s="1"/>
  <c r="G17" i="10"/>
  <c r="H17" i="10" s="1"/>
  <c r="H18" i="10" s="1"/>
  <c r="E43" i="19" s="1"/>
  <c r="O16" i="11"/>
  <c r="O15" i="11"/>
  <c r="F17" i="11"/>
  <c r="H17" i="11"/>
  <c r="D18" i="11"/>
  <c r="D56" i="19" l="1"/>
  <c r="C56" i="19"/>
  <c r="N17" i="10"/>
  <c r="L17" i="10"/>
  <c r="R18" i="10"/>
  <c r="S18" i="10" s="1"/>
  <c r="E19" i="10"/>
  <c r="K18" i="10"/>
  <c r="E8" i="10"/>
  <c r="G8" i="10"/>
  <c r="H18" i="11"/>
  <c r="I18" i="11" s="1"/>
  <c r="J18" i="11" s="1"/>
  <c r="D19" i="11"/>
  <c r="F18" i="11"/>
  <c r="I17" i="11"/>
  <c r="J17" i="11" s="1"/>
  <c r="K17" i="11" s="1"/>
  <c r="K18" i="11" s="1"/>
  <c r="L18" i="10" l="1"/>
  <c r="P17" i="11"/>
  <c r="X17" i="11"/>
  <c r="P18" i="11"/>
  <c r="X18" i="11"/>
  <c r="Q8" i="10"/>
  <c r="E20" i="10"/>
  <c r="G19" i="10"/>
  <c r="H19" i="10" s="1"/>
  <c r="Q19" i="10"/>
  <c r="R19" i="10" s="1"/>
  <c r="S19" i="10" s="1"/>
  <c r="K19" i="10"/>
  <c r="M19" i="10" s="1"/>
  <c r="T19" i="10" s="1"/>
  <c r="M18" i="10"/>
  <c r="K8" i="10"/>
  <c r="O17" i="11"/>
  <c r="O18" i="11"/>
  <c r="D9" i="11"/>
  <c r="F19" i="11"/>
  <c r="H19" i="11"/>
  <c r="D20" i="11"/>
  <c r="T18" i="10" l="1"/>
  <c r="E44" i="19"/>
  <c r="N18" i="10"/>
  <c r="L19" i="10"/>
  <c r="AQ19" i="10"/>
  <c r="M8" i="10"/>
  <c r="Q20" i="10"/>
  <c r="R20" i="10" s="1"/>
  <c r="S20" i="10" s="1"/>
  <c r="E21" i="10"/>
  <c r="G20" i="10"/>
  <c r="H20" i="10" s="1"/>
  <c r="K20" i="10"/>
  <c r="M20" i="10" s="1"/>
  <c r="T20" i="10" s="1"/>
  <c r="S8" i="10"/>
  <c r="R8" i="10"/>
  <c r="H20" i="11"/>
  <c r="I20" i="11" s="1"/>
  <c r="J20" i="11" s="1"/>
  <c r="D21" i="11"/>
  <c r="F20" i="11"/>
  <c r="F9" i="11"/>
  <c r="H9" i="11"/>
  <c r="I19" i="11"/>
  <c r="N19" i="10" l="1"/>
  <c r="N20" i="10" s="1"/>
  <c r="E45" i="19"/>
  <c r="L20" i="10"/>
  <c r="P20" i="11"/>
  <c r="X20" i="11"/>
  <c r="AQ20" i="10"/>
  <c r="T8" i="10"/>
  <c r="G21" i="10"/>
  <c r="H21" i="10" s="1"/>
  <c r="K21" i="10"/>
  <c r="M21" i="10" s="1"/>
  <c r="T21" i="10" s="1"/>
  <c r="E22" i="10"/>
  <c r="Q21" i="10"/>
  <c r="R21" i="10" s="1"/>
  <c r="S21" i="10" s="1"/>
  <c r="O20" i="11"/>
  <c r="J19" i="11"/>
  <c r="I9" i="11"/>
  <c r="F21" i="11"/>
  <c r="D22" i="11"/>
  <c r="H21" i="11"/>
  <c r="K19" i="11" l="1"/>
  <c r="E54" i="19"/>
  <c r="N21" i="10"/>
  <c r="L21" i="10"/>
  <c r="P19" i="11"/>
  <c r="E56" i="19" s="1"/>
  <c r="X19" i="11"/>
  <c r="X9" i="11" s="1"/>
  <c r="AQ21" i="10"/>
  <c r="G22" i="10"/>
  <c r="H22" i="10" s="1"/>
  <c r="Q22" i="10"/>
  <c r="R22" i="10" s="1"/>
  <c r="S22" i="10" s="1"/>
  <c r="K22" i="10"/>
  <c r="M22" i="10" s="1"/>
  <c r="T22" i="10" s="1"/>
  <c r="E23" i="10"/>
  <c r="D23" i="11"/>
  <c r="H22" i="11"/>
  <c r="I22" i="11" s="1"/>
  <c r="J22" i="11" s="1"/>
  <c r="F22" i="11"/>
  <c r="O19" i="11"/>
  <c r="J9" i="11"/>
  <c r="I21" i="11"/>
  <c r="J21" i="11" s="1"/>
  <c r="N22" i="10" l="1"/>
  <c r="K20" i="11"/>
  <c r="K21" i="11" s="1"/>
  <c r="K22" i="11" s="1"/>
  <c r="E55" i="19"/>
  <c r="L22" i="10"/>
  <c r="P21" i="11"/>
  <c r="X21" i="11"/>
  <c r="P22" i="11"/>
  <c r="X22" i="11"/>
  <c r="AQ22" i="10"/>
  <c r="O21" i="11"/>
  <c r="G23" i="10"/>
  <c r="H23" i="10" s="1"/>
  <c r="K23" i="10"/>
  <c r="M23" i="10" s="1"/>
  <c r="T23" i="10" s="1"/>
  <c r="Q23" i="10"/>
  <c r="R23" i="10" s="1"/>
  <c r="S23" i="10" s="1"/>
  <c r="E24" i="10"/>
  <c r="H23" i="11"/>
  <c r="I23" i="11" s="1"/>
  <c r="J23" i="11" s="1"/>
  <c r="F23" i="11"/>
  <c r="D24" i="11"/>
  <c r="O22" i="11"/>
  <c r="K23" i="11" l="1"/>
  <c r="N23" i="10"/>
  <c r="L23" i="10"/>
  <c r="P23" i="11"/>
  <c r="X23" i="11"/>
  <c r="AQ23" i="10"/>
  <c r="K24" i="10"/>
  <c r="M24" i="10" s="1"/>
  <c r="F44" i="19" s="1"/>
  <c r="Q24" i="10"/>
  <c r="R24" i="10" s="1"/>
  <c r="S24" i="10" s="1"/>
  <c r="E25" i="10"/>
  <c r="G24" i="10"/>
  <c r="O23" i="11"/>
  <c r="F24" i="11"/>
  <c r="D25" i="11"/>
  <c r="H24" i="11"/>
  <c r="I24" i="11" s="1"/>
  <c r="J24" i="11" s="1"/>
  <c r="T24" i="10"/>
  <c r="K24" i="11" l="1"/>
  <c r="N24" i="10"/>
  <c r="L24" i="10"/>
  <c r="H24" i="10"/>
  <c r="F43" i="19" s="1"/>
  <c r="P24" i="11"/>
  <c r="X24" i="11"/>
  <c r="AQ24" i="10"/>
  <c r="E26" i="10"/>
  <c r="K25" i="10"/>
  <c r="M25" i="10" s="1"/>
  <c r="T25" i="10" s="1"/>
  <c r="Q25" i="10"/>
  <c r="R25" i="10" s="1"/>
  <c r="S25" i="10" s="1"/>
  <c r="G25" i="10"/>
  <c r="O24" i="11"/>
  <c r="H25" i="11"/>
  <c r="D26" i="11"/>
  <c r="F25" i="11"/>
  <c r="N25" i="10" l="1"/>
  <c r="F45" i="19"/>
  <c r="L25" i="10"/>
  <c r="H25" i="10"/>
  <c r="AQ25" i="10"/>
  <c r="Q26" i="10"/>
  <c r="R26" i="10" s="1"/>
  <c r="S26" i="10" s="1"/>
  <c r="E27" i="10"/>
  <c r="G26" i="10"/>
  <c r="K26" i="10"/>
  <c r="M26" i="10" s="1"/>
  <c r="T26" i="10" s="1"/>
  <c r="F26" i="11"/>
  <c r="D27" i="11"/>
  <c r="H26" i="11"/>
  <c r="I25" i="11"/>
  <c r="J25" i="11" s="1"/>
  <c r="K25" i="11" l="1"/>
  <c r="F55" i="19" s="1"/>
  <c r="F54" i="19"/>
  <c r="N26" i="10"/>
  <c r="L26" i="10"/>
  <c r="H26" i="10"/>
  <c r="P25" i="11"/>
  <c r="F56" i="19" s="1"/>
  <c r="X25" i="11"/>
  <c r="AQ26" i="10"/>
  <c r="E28" i="10"/>
  <c r="Q28" i="10" s="1"/>
  <c r="G27" i="10"/>
  <c r="K27" i="10"/>
  <c r="M27" i="10" s="1"/>
  <c r="T27" i="10" s="1"/>
  <c r="Q27" i="10"/>
  <c r="R27" i="10" s="1"/>
  <c r="O25" i="11"/>
  <c r="I26" i="11"/>
  <c r="J26" i="11" s="1"/>
  <c r="H27" i="11"/>
  <c r="F27" i="11"/>
  <c r="D28" i="11"/>
  <c r="S27" i="10"/>
  <c r="K26" i="11" l="1"/>
  <c r="N27" i="10"/>
  <c r="L27" i="10"/>
  <c r="H27" i="10"/>
  <c r="P26" i="11"/>
  <c r="X26" i="11"/>
  <c r="E29" i="10"/>
  <c r="R28" i="10"/>
  <c r="K28" i="10"/>
  <c r="M28" i="10" s="1"/>
  <c r="T28" i="10" s="1"/>
  <c r="G28" i="10"/>
  <c r="D29" i="11"/>
  <c r="F28" i="11"/>
  <c r="H28" i="11"/>
  <c r="I28" i="11" s="1"/>
  <c r="J28" i="11" s="1"/>
  <c r="X28" i="11" s="1"/>
  <c r="I27" i="11"/>
  <c r="J27" i="11" s="1"/>
  <c r="O26" i="11"/>
  <c r="S28" i="10"/>
  <c r="K27" i="11" l="1"/>
  <c r="K28" i="11" s="1"/>
  <c r="N28" i="10"/>
  <c r="L28" i="10"/>
  <c r="H28" i="10"/>
  <c r="P27" i="11"/>
  <c r="X27" i="11"/>
  <c r="Q29" i="10"/>
  <c r="G29" i="10"/>
  <c r="K29" i="10"/>
  <c r="E30" i="10"/>
  <c r="O28" i="11"/>
  <c r="O27" i="11"/>
  <c r="H29" i="11"/>
  <c r="I29" i="11" s="1"/>
  <c r="J29" i="11" s="1"/>
  <c r="X29" i="11" s="1"/>
  <c r="D30" i="11"/>
  <c r="F29" i="11"/>
  <c r="K29" i="11" l="1"/>
  <c r="L29" i="10"/>
  <c r="H29" i="10"/>
  <c r="R29" i="10"/>
  <c r="S29" i="10" s="1"/>
  <c r="M29" i="10"/>
  <c r="T29" i="10" s="1"/>
  <c r="AQ29" i="10"/>
  <c r="Q30" i="10"/>
  <c r="K30" i="10"/>
  <c r="E31" i="10"/>
  <c r="G30" i="10"/>
  <c r="O29" i="11"/>
  <c r="D31" i="11"/>
  <c r="H30" i="11"/>
  <c r="F30" i="11"/>
  <c r="N29" i="10" l="1"/>
  <c r="L30" i="10"/>
  <c r="H30" i="10"/>
  <c r="R30" i="10"/>
  <c r="S30" i="10" s="1"/>
  <c r="M30" i="10"/>
  <c r="T30" i="10" s="1"/>
  <c r="AQ30" i="10"/>
  <c r="I30" i="11"/>
  <c r="J30" i="11" s="1"/>
  <c r="X30" i="11" s="1"/>
  <c r="K31" i="10"/>
  <c r="G31" i="10"/>
  <c r="Q31" i="10"/>
  <c r="E32" i="10"/>
  <c r="H31" i="11"/>
  <c r="D32" i="11"/>
  <c r="F31" i="11"/>
  <c r="N30" i="10" l="1"/>
  <c r="K30" i="11"/>
  <c r="L31" i="10"/>
  <c r="H31" i="10"/>
  <c r="R31" i="10"/>
  <c r="S31" i="10" s="1"/>
  <c r="O30" i="11"/>
  <c r="M31" i="10"/>
  <c r="T31" i="10" s="1"/>
  <c r="AQ31" i="10"/>
  <c r="K32" i="10"/>
  <c r="G32" i="10"/>
  <c r="E33" i="10"/>
  <c r="E34" i="10" s="1"/>
  <c r="Q32" i="10"/>
  <c r="H32" i="11"/>
  <c r="D33" i="11"/>
  <c r="F32" i="11"/>
  <c r="I31" i="11"/>
  <c r="J31" i="11" s="1"/>
  <c r="X31" i="11" s="1"/>
  <c r="N31" i="10" l="1"/>
  <c r="K31" i="11"/>
  <c r="L32" i="10"/>
  <c r="H32" i="10"/>
  <c r="R32" i="10"/>
  <c r="S32" i="10" s="1"/>
  <c r="G34" i="10"/>
  <c r="E35" i="10"/>
  <c r="Q34" i="10"/>
  <c r="K34" i="10"/>
  <c r="M32" i="10"/>
  <c r="T32" i="10" s="1"/>
  <c r="AQ32" i="10"/>
  <c r="G33" i="10"/>
  <c r="Q33" i="10"/>
  <c r="K33" i="10"/>
  <c r="H33" i="11"/>
  <c r="F33" i="11"/>
  <c r="D34" i="11"/>
  <c r="D35" i="11" s="1"/>
  <c r="O31" i="11"/>
  <c r="I32" i="11"/>
  <c r="J32" i="11" s="1"/>
  <c r="X32" i="11" s="1"/>
  <c r="N32" i="10" l="1"/>
  <c r="K32" i="11"/>
  <c r="L33" i="10"/>
  <c r="L34" i="10" s="1"/>
  <c r="H33" i="10"/>
  <c r="H34" i="10" s="1"/>
  <c r="G43" i="19" s="1"/>
  <c r="F35" i="11"/>
  <c r="D36" i="11"/>
  <c r="R33" i="10"/>
  <c r="S33" i="10" s="1"/>
  <c r="R34" i="10"/>
  <c r="G35" i="10"/>
  <c r="Q35" i="10"/>
  <c r="E36" i="10"/>
  <c r="K35" i="10"/>
  <c r="M35" i="10" s="1"/>
  <c r="T35" i="10" s="1"/>
  <c r="M33" i="10"/>
  <c r="T33" i="10" s="1"/>
  <c r="M34" i="10"/>
  <c r="G44" i="19" s="1"/>
  <c r="AQ33" i="10"/>
  <c r="E10" i="10"/>
  <c r="E9" i="10"/>
  <c r="O32" i="11"/>
  <c r="F34" i="11"/>
  <c r="H34" i="11"/>
  <c r="I33" i="11"/>
  <c r="J33" i="11" s="1"/>
  <c r="X33" i="11" s="1"/>
  <c r="N33" i="10" l="1"/>
  <c r="N34" i="10" s="1"/>
  <c r="H9" i="10"/>
  <c r="K33" i="11"/>
  <c r="L35" i="10"/>
  <c r="H35" i="10"/>
  <c r="G36" i="10"/>
  <c r="Q36" i="10"/>
  <c r="E37" i="10"/>
  <c r="K36" i="10"/>
  <c r="R35" i="10"/>
  <c r="S35" i="10" s="1"/>
  <c r="R36" i="10"/>
  <c r="S36" i="10" s="1"/>
  <c r="D37" i="11"/>
  <c r="F36" i="11"/>
  <c r="H36" i="11"/>
  <c r="G9" i="10"/>
  <c r="G10" i="10"/>
  <c r="Q9" i="10"/>
  <c r="Q10" i="10"/>
  <c r="K9" i="10"/>
  <c r="K10" i="10"/>
  <c r="I34" i="11"/>
  <c r="J34" i="11" s="1"/>
  <c r="X34" i="11" s="1"/>
  <c r="O33" i="11"/>
  <c r="H35" i="11"/>
  <c r="D10" i="11"/>
  <c r="D11" i="11"/>
  <c r="N35" i="10" l="1"/>
  <c r="G45" i="19"/>
  <c r="K34" i="11"/>
  <c r="L36" i="10"/>
  <c r="H36" i="10"/>
  <c r="D38" i="11"/>
  <c r="F37" i="11"/>
  <c r="H37" i="11"/>
  <c r="M36" i="10"/>
  <c r="T36" i="10" s="1"/>
  <c r="G37" i="10"/>
  <c r="Q37" i="10"/>
  <c r="E38" i="10"/>
  <c r="K37" i="10"/>
  <c r="R37" i="10"/>
  <c r="S37" i="10" s="1"/>
  <c r="I35" i="11"/>
  <c r="I36" i="11"/>
  <c r="J36" i="11" s="1"/>
  <c r="I37" i="11"/>
  <c r="J37" i="11" s="1"/>
  <c r="M9" i="10"/>
  <c r="M10" i="10"/>
  <c r="T34" i="10"/>
  <c r="S34" i="10"/>
  <c r="R9" i="10"/>
  <c r="R10" i="10"/>
  <c r="H10" i="11"/>
  <c r="H11" i="11"/>
  <c r="F10" i="11"/>
  <c r="F11" i="11"/>
  <c r="O34" i="11"/>
  <c r="N36" i="10" l="1"/>
  <c r="L37" i="10"/>
  <c r="H37" i="10"/>
  <c r="G38" i="10"/>
  <c r="E39" i="10"/>
  <c r="Q38" i="10"/>
  <c r="R38" i="10" s="1"/>
  <c r="S38" i="10" s="1"/>
  <c r="K38" i="10"/>
  <c r="M38" i="10" s="1"/>
  <c r="T38" i="10" s="1"/>
  <c r="M37" i="10"/>
  <c r="T37" i="10" s="1"/>
  <c r="D39" i="11"/>
  <c r="F38" i="11"/>
  <c r="H38" i="11"/>
  <c r="X37" i="11"/>
  <c r="O37" i="11"/>
  <c r="X36" i="11"/>
  <c r="O36" i="11"/>
  <c r="S10" i="10"/>
  <c r="S9" i="10"/>
  <c r="T9" i="10"/>
  <c r="T10" i="10"/>
  <c r="I11" i="11"/>
  <c r="J35" i="11"/>
  <c r="I10" i="11"/>
  <c r="K35" i="11" l="1"/>
  <c r="G54" i="19"/>
  <c r="N37" i="10"/>
  <c r="N38" i="10" s="1"/>
  <c r="L38" i="10"/>
  <c r="H38" i="10"/>
  <c r="I38" i="11"/>
  <c r="J38" i="11" s="1"/>
  <c r="D40" i="11"/>
  <c r="F39" i="11"/>
  <c r="H39" i="11"/>
  <c r="G39" i="10"/>
  <c r="Q39" i="10"/>
  <c r="R39" i="10" s="1"/>
  <c r="S39" i="10" s="1"/>
  <c r="K39" i="10"/>
  <c r="M39" i="10" s="1"/>
  <c r="T39" i="10" s="1"/>
  <c r="X35" i="11"/>
  <c r="X10" i="11" s="1"/>
  <c r="O35" i="11"/>
  <c r="X11" i="11"/>
  <c r="J10" i="11"/>
  <c r="J11" i="11"/>
  <c r="K36" i="11" l="1"/>
  <c r="K37" i="11" s="1"/>
  <c r="G55" i="19"/>
  <c r="K38" i="11"/>
  <c r="N39" i="10"/>
  <c r="L39" i="10"/>
  <c r="H39" i="10"/>
  <c r="F40" i="11"/>
  <c r="H40" i="11"/>
  <c r="I40" i="11" s="1"/>
  <c r="J40" i="11" s="1"/>
  <c r="I39" i="11"/>
  <c r="J39" i="11" s="1"/>
  <c r="K39" i="11" s="1"/>
  <c r="K40" i="11" s="1"/>
  <c r="X38" i="11"/>
  <c r="O38" i="11"/>
  <c r="G19" i="8"/>
  <c r="W19" i="8" s="1"/>
  <c r="O40" i="11" l="1"/>
  <c r="X40" i="11"/>
  <c r="X39" i="11"/>
  <c r="O39" i="11"/>
  <c r="G20" i="8"/>
  <c r="W20" i="8" s="1"/>
  <c r="I10" i="8"/>
  <c r="I12" i="8" l="1"/>
  <c r="I11" i="8" l="1"/>
  <c r="W27" i="10" l="1"/>
  <c r="Z27" i="10"/>
  <c r="W28" i="10"/>
  <c r="AI28" i="10" l="1"/>
  <c r="AN28" i="10" s="1"/>
  <c r="Y29" i="11" s="1"/>
  <c r="X28" i="10"/>
  <c r="X29" i="10"/>
  <c r="AI27" i="10"/>
  <c r="X27" i="10"/>
  <c r="AB27" i="10" l="1"/>
  <c r="AN27" i="10"/>
  <c r="AQ28" i="10"/>
  <c r="AQ27" i="10"/>
  <c r="AJ28" i="10"/>
  <c r="AD27" i="10"/>
  <c r="AJ27" i="10"/>
  <c r="AB28" i="10"/>
  <c r="AJ29" i="10"/>
  <c r="AD28" i="10"/>
  <c r="AH28" i="10" s="1"/>
  <c r="AO29" i="10"/>
  <c r="Z30" i="11"/>
  <c r="R30" i="11" s="1"/>
  <c r="AO28" i="10"/>
  <c r="AH27" i="10"/>
  <c r="AE27" i="10"/>
  <c r="W13" i="10"/>
  <c r="W17" i="10"/>
  <c r="AE29" i="10" l="1"/>
  <c r="AE28" i="10"/>
  <c r="AO27" i="10"/>
  <c r="Y28" i="11"/>
  <c r="AI17" i="10"/>
  <c r="AQ17" i="10" s="1"/>
  <c r="AI13" i="10"/>
  <c r="X13" i="10"/>
  <c r="AJ13" i="10"/>
  <c r="AD13" i="10"/>
  <c r="AE13" i="10" s="1"/>
  <c r="AQ13" i="10"/>
  <c r="AB13" i="10"/>
  <c r="AN13" i="10"/>
  <c r="Z13" i="10"/>
  <c r="W18" i="10"/>
  <c r="X18" i="10" s="1"/>
  <c r="W15" i="10"/>
  <c r="W14" i="10"/>
  <c r="X14" i="10" s="1"/>
  <c r="W16" i="10"/>
  <c r="AN17" i="10" l="1"/>
  <c r="Y18" i="11" s="1"/>
  <c r="W18" i="11" s="1"/>
  <c r="AD17" i="10"/>
  <c r="AH17" i="10" s="1"/>
  <c r="AB17" i="10"/>
  <c r="AO13" i="10"/>
  <c r="Y14" i="11"/>
  <c r="Z28" i="11"/>
  <c r="R28" i="11" s="1"/>
  <c r="M28" i="11" s="1"/>
  <c r="Z29" i="11"/>
  <c r="R29" i="11" s="1"/>
  <c r="AH13" i="10"/>
  <c r="X19" i="10"/>
  <c r="AI16" i="10"/>
  <c r="AJ17" i="10" s="1"/>
  <c r="X16" i="10"/>
  <c r="AI15" i="10"/>
  <c r="AQ15" i="10" s="1"/>
  <c r="X15" i="10"/>
  <c r="X17" i="10"/>
  <c r="AI14" i="10"/>
  <c r="W8" i="10"/>
  <c r="W9" i="10"/>
  <c r="AI18" i="10"/>
  <c r="U28" i="11" l="1"/>
  <c r="W28" i="11" s="1"/>
  <c r="N28" i="11"/>
  <c r="AD15" i="10"/>
  <c r="AH15" i="10" s="1"/>
  <c r="Z14" i="11"/>
  <c r="W14" i="11"/>
  <c r="AB15" i="10"/>
  <c r="M29" i="11"/>
  <c r="U29" i="11" s="1"/>
  <c r="W29" i="11" s="1"/>
  <c r="P28" i="11"/>
  <c r="AQ16" i="10"/>
  <c r="AB16" i="10"/>
  <c r="AD16" i="10"/>
  <c r="AH16" i="10" s="1"/>
  <c r="AN16" i="10"/>
  <c r="AJ16" i="10"/>
  <c r="AN15" i="10"/>
  <c r="Y16" i="11" s="1"/>
  <c r="W16" i="11" s="1"/>
  <c r="AI8" i="10"/>
  <c r="AI9" i="10"/>
  <c r="AJ14" i="10"/>
  <c r="AN14" i="10"/>
  <c r="Y15" i="11" s="1"/>
  <c r="AD14" i="10"/>
  <c r="AQ14" i="10"/>
  <c r="AB14" i="10"/>
  <c r="AB18" i="10"/>
  <c r="AJ18" i="10"/>
  <c r="AN18" i="10"/>
  <c r="Y19" i="11" s="1"/>
  <c r="W19" i="11" s="1"/>
  <c r="AD18" i="10"/>
  <c r="AQ18" i="10"/>
  <c r="AJ19" i="10"/>
  <c r="AO15" i="10"/>
  <c r="AP15" i="10" s="1"/>
  <c r="AJ15" i="10"/>
  <c r="N29" i="11" l="1"/>
  <c r="AE16" i="10"/>
  <c r="Z15" i="11"/>
  <c r="W15" i="11"/>
  <c r="AE17" i="10"/>
  <c r="Y9" i="11"/>
  <c r="Y10" i="11"/>
  <c r="M30" i="11"/>
  <c r="U30" i="11" s="1"/>
  <c r="W30" i="11" s="1"/>
  <c r="P29" i="11"/>
  <c r="Z19" i="11"/>
  <c r="Z20" i="11"/>
  <c r="Z16" i="11"/>
  <c r="AO16" i="10"/>
  <c r="Y17" i="11"/>
  <c r="W17" i="11" s="1"/>
  <c r="AO17" i="10"/>
  <c r="AE18" i="10"/>
  <c r="AE19" i="10"/>
  <c r="AE14" i="10"/>
  <c r="AE15" i="10"/>
  <c r="AD8" i="10"/>
  <c r="AD9" i="10"/>
  <c r="AB8" i="10"/>
  <c r="AB9" i="10"/>
  <c r="AH18" i="10"/>
  <c r="AO19" i="10"/>
  <c r="AN8" i="10"/>
  <c r="AO18" i="10"/>
  <c r="AN9" i="10"/>
  <c r="AO14" i="10"/>
  <c r="AH14" i="10"/>
  <c r="N30" i="11" l="1"/>
  <c r="AP16" i="10"/>
  <c r="AP17" i="10" s="1"/>
  <c r="AP18" i="10" s="1"/>
  <c r="M31" i="11"/>
  <c r="U31" i="11" s="1"/>
  <c r="W31" i="11" s="1"/>
  <c r="P30" i="11"/>
  <c r="Z17" i="11"/>
  <c r="Z18" i="11"/>
  <c r="AH8" i="10"/>
  <c r="AH9" i="10"/>
  <c r="N31" i="11" l="1"/>
  <c r="AP19" i="10"/>
  <c r="AP20" i="10" s="1"/>
  <c r="AP21" i="10" s="1"/>
  <c r="AP22" i="10" s="1"/>
  <c r="AP23" i="10" s="1"/>
  <c r="AP24" i="10" s="1"/>
  <c r="M32" i="11"/>
  <c r="U32" i="11" s="1"/>
  <c r="W32" i="11" s="1"/>
  <c r="P31" i="11"/>
  <c r="N32" i="11" l="1"/>
  <c r="AP25" i="10"/>
  <c r="AP26" i="10" s="1"/>
  <c r="AP27" i="10" s="1"/>
  <c r="AP28" i="10" s="1"/>
  <c r="AP29" i="10" s="1"/>
  <c r="AP30" i="10" s="1"/>
  <c r="AP31" i="10" s="1"/>
  <c r="AP32" i="10" s="1"/>
  <c r="AP33" i="10" s="1"/>
  <c r="AP34" i="10" s="1"/>
  <c r="M33" i="11"/>
  <c r="U33" i="11" s="1"/>
  <c r="W33" i="11" s="1"/>
  <c r="P32" i="11"/>
  <c r="N33" i="11" l="1"/>
  <c r="AP10" i="10"/>
  <c r="AP9" i="10"/>
  <c r="AP35" i="10"/>
  <c r="AP36" i="10" s="1"/>
  <c r="AP37" i="10" s="1"/>
  <c r="AP38" i="10" s="1"/>
  <c r="AP39" i="10" s="1"/>
  <c r="M34" i="11"/>
  <c r="P33" i="11"/>
  <c r="N34" i="11" l="1"/>
  <c r="U34" i="11"/>
  <c r="W34" i="11" s="1"/>
  <c r="M35" i="11"/>
  <c r="M36" i="11" s="1"/>
  <c r="P34" i="11"/>
  <c r="N35" i="11" l="1"/>
  <c r="N36" i="11" s="1"/>
  <c r="U36" i="11"/>
  <c r="W36" i="11" s="1"/>
  <c r="M37" i="11"/>
  <c r="P36" i="11"/>
  <c r="U35" i="11"/>
  <c r="U10" i="11"/>
  <c r="U11" i="11"/>
  <c r="P35" i="11"/>
  <c r="G56" i="19" s="1"/>
  <c r="M10" i="11"/>
  <c r="M11" i="11"/>
  <c r="N37" i="11" l="1"/>
  <c r="U37" i="11"/>
  <c r="W37" i="11" s="1"/>
  <c r="M38" i="11"/>
  <c r="P37" i="11"/>
  <c r="W35" i="11"/>
  <c r="E37" i="8"/>
  <c r="E12" i="8" s="1"/>
  <c r="E31" i="8"/>
  <c r="O37" i="8"/>
  <c r="O12" i="8" s="1"/>
  <c r="F37" i="8"/>
  <c r="F12" i="8" s="1"/>
  <c r="U37" i="8"/>
  <c r="V37" i="8" s="1"/>
  <c r="I21" i="6"/>
  <c r="S21" i="6" s="1"/>
  <c r="O21" i="6"/>
  <c r="M11" i="8"/>
  <c r="M12" i="8"/>
  <c r="S26" i="7"/>
  <c r="I20" i="6"/>
  <c r="J20" i="6" s="1"/>
  <c r="K20" i="6" s="1"/>
  <c r="O20" i="6"/>
  <c r="S25" i="7"/>
  <c r="M10" i="8"/>
  <c r="O19" i="6"/>
  <c r="S24" i="7"/>
  <c r="G31" i="8"/>
  <c r="W31" i="8" s="1"/>
  <c r="U31" i="8"/>
  <c r="V31" i="8" s="1"/>
  <c r="O30" i="8"/>
  <c r="P30" i="8" s="1"/>
  <c r="R30" i="8" s="1"/>
  <c r="U30" i="8"/>
  <c r="V30" i="8" s="1"/>
  <c r="F29" i="8"/>
  <c r="U29" i="8"/>
  <c r="V29" i="8" s="1"/>
  <c r="F28" i="8"/>
  <c r="U28" i="8"/>
  <c r="V28" i="8" s="1"/>
  <c r="G27" i="8"/>
  <c r="W27" i="8" s="1"/>
  <c r="O26" i="8"/>
  <c r="P26" i="8" s="1"/>
  <c r="R26" i="8" s="1"/>
  <c r="U26" i="8"/>
  <c r="V26" i="8" s="1"/>
  <c r="G25" i="8"/>
  <c r="W25" i="8" s="1"/>
  <c r="O24" i="8"/>
  <c r="P24" i="8" s="1"/>
  <c r="R24" i="8" s="1"/>
  <c r="U24" i="8"/>
  <c r="V24" i="8" s="1"/>
  <c r="J12" i="8"/>
  <c r="R26" i="7"/>
  <c r="F36" i="8"/>
  <c r="U36" i="8"/>
  <c r="V36" i="8" s="1"/>
  <c r="G35" i="8"/>
  <c r="W35" i="8" s="1"/>
  <c r="U35" i="8"/>
  <c r="V35" i="8" s="1"/>
  <c r="F34" i="8"/>
  <c r="G33" i="8"/>
  <c r="W33" i="8" s="1"/>
  <c r="U33" i="8"/>
  <c r="V33" i="8" s="1"/>
  <c r="O32" i="8"/>
  <c r="P32" i="8" s="1"/>
  <c r="R32" i="8" s="1"/>
  <c r="U32" i="8"/>
  <c r="V32" i="8" s="1"/>
  <c r="E23" i="8"/>
  <c r="U23" i="8"/>
  <c r="V23" i="8" s="1"/>
  <c r="G22" i="8"/>
  <c r="W22" i="8" s="1"/>
  <c r="U22" i="8"/>
  <c r="V22" i="8" s="1"/>
  <c r="O21" i="8"/>
  <c r="R24" i="7"/>
  <c r="M21" i="6" l="1"/>
  <c r="L21" i="6" s="1"/>
  <c r="N38" i="11"/>
  <c r="M39" i="11"/>
  <c r="U38" i="11"/>
  <c r="W38" i="11" s="1"/>
  <c r="P38" i="11"/>
  <c r="S20" i="6"/>
  <c r="V20" i="6" s="1"/>
  <c r="F24" i="8"/>
  <c r="G24" i="8"/>
  <c r="W24" i="8" s="1"/>
  <c r="U25" i="8"/>
  <c r="V25" i="8" s="1"/>
  <c r="R25" i="7"/>
  <c r="E32" i="8"/>
  <c r="D32" i="8" s="1"/>
  <c r="E33" i="8"/>
  <c r="P20" i="6"/>
  <c r="E21" i="8"/>
  <c r="D21" i="8" s="1"/>
  <c r="O34" i="8"/>
  <c r="P34" i="8" s="1"/>
  <c r="R34" i="8" s="1"/>
  <c r="U21" i="8"/>
  <c r="U11" i="8" s="1"/>
  <c r="E34" i="8"/>
  <c r="R20" i="6"/>
  <c r="O31" i="8"/>
  <c r="P31" i="8" s="1"/>
  <c r="R31" i="8" s="1"/>
  <c r="F31" i="8"/>
  <c r="G34" i="8"/>
  <c r="W34" i="8" s="1"/>
  <c r="E24" i="8"/>
  <c r="I19" i="6"/>
  <c r="S19" i="6" s="1"/>
  <c r="J21" i="6"/>
  <c r="K21" i="6" s="1"/>
  <c r="U21" i="6" s="1"/>
  <c r="E22" i="8"/>
  <c r="D23" i="8" s="1"/>
  <c r="E30" i="8"/>
  <c r="D31" i="8" s="1"/>
  <c r="E27" i="8"/>
  <c r="V21" i="6"/>
  <c r="X21" i="6" s="1"/>
  <c r="V12" i="8"/>
  <c r="T20" i="6"/>
  <c r="D24" i="8"/>
  <c r="O10" i="8"/>
  <c r="P21" i="8"/>
  <c r="P37" i="8"/>
  <c r="P21" i="6"/>
  <c r="R21" i="6"/>
  <c r="F32" i="8"/>
  <c r="G21" i="8"/>
  <c r="W21" i="8" s="1"/>
  <c r="Q21" i="6"/>
  <c r="J10" i="8"/>
  <c r="F30" i="8"/>
  <c r="U12" i="8"/>
  <c r="F25" i="8"/>
  <c r="E28" i="8"/>
  <c r="O35" i="8"/>
  <c r="P35" i="8" s="1"/>
  <c r="R35" i="8" s="1"/>
  <c r="O25" i="8"/>
  <c r="P25" i="8" s="1"/>
  <c r="R25" i="8" s="1"/>
  <c r="G29" i="8"/>
  <c r="W29" i="8" s="1"/>
  <c r="G32" i="8"/>
  <c r="W32" i="8" s="1"/>
  <c r="E36" i="8"/>
  <c r="D36" i="8" s="1"/>
  <c r="F23" i="8"/>
  <c r="O11" i="8"/>
  <c r="O28" i="8"/>
  <c r="P28" i="8" s="1"/>
  <c r="R28" i="8" s="1"/>
  <c r="F35" i="8"/>
  <c r="E11" i="8"/>
  <c r="G36" i="8"/>
  <c r="W36" i="8" s="1"/>
  <c r="O33" i="8"/>
  <c r="P33" i="8" s="1"/>
  <c r="R33" i="8" s="1"/>
  <c r="Q20" i="6"/>
  <c r="F33" i="8"/>
  <c r="G30" i="8"/>
  <c r="W30" i="8" s="1"/>
  <c r="F27" i="8"/>
  <c r="J11" i="8"/>
  <c r="E26" i="8"/>
  <c r="E29" i="8"/>
  <c r="E25" i="8"/>
  <c r="O36" i="8"/>
  <c r="P36" i="8" s="1"/>
  <c r="R36" i="8" s="1"/>
  <c r="F26" i="8"/>
  <c r="F21" i="8"/>
  <c r="F10" i="8" s="1"/>
  <c r="G26" i="8"/>
  <c r="W26" i="8" s="1"/>
  <c r="G37" i="8"/>
  <c r="F22" i="8"/>
  <c r="U34" i="8"/>
  <c r="V34" i="8" s="1"/>
  <c r="U27" i="8"/>
  <c r="E35" i="8"/>
  <c r="O23" i="8"/>
  <c r="P23" i="8" s="1"/>
  <c r="R23" i="8" s="1"/>
  <c r="G28" i="8"/>
  <c r="W28" i="8" s="1"/>
  <c r="G23" i="8"/>
  <c r="W23" i="8" s="1"/>
  <c r="O29" i="8"/>
  <c r="P29" i="8" s="1"/>
  <c r="R29" i="8" s="1"/>
  <c r="O27" i="8"/>
  <c r="P27" i="8" s="1"/>
  <c r="R27" i="8" s="1"/>
  <c r="O22" i="8"/>
  <c r="P22" i="8" s="1"/>
  <c r="R22" i="8" s="1"/>
  <c r="D25" i="8" l="1"/>
  <c r="D34" i="8"/>
  <c r="I39" i="8" s="1"/>
  <c r="D33" i="8"/>
  <c r="N39" i="11"/>
  <c r="U39" i="11"/>
  <c r="W39" i="11" s="1"/>
  <c r="M40" i="11"/>
  <c r="P39" i="11"/>
  <c r="D35" i="8"/>
  <c r="J19" i="6"/>
  <c r="K19" i="6" s="1"/>
  <c r="D22" i="8"/>
  <c r="E10" i="8"/>
  <c r="Q19" i="6"/>
  <c r="T21" i="6"/>
  <c r="D28" i="8"/>
  <c r="R19" i="6"/>
  <c r="P19" i="6"/>
  <c r="M19" i="6"/>
  <c r="L19" i="6" s="1"/>
  <c r="V21" i="8"/>
  <c r="U10" i="8"/>
  <c r="U20" i="6"/>
  <c r="D37" i="8"/>
  <c r="V27" i="8"/>
  <c r="M20" i="6"/>
  <c r="L20" i="6" s="1"/>
  <c r="W10" i="8"/>
  <c r="W40" i="8"/>
  <c r="R21" i="8"/>
  <c r="R10" i="8" s="1"/>
  <c r="P10" i="8"/>
  <c r="V19" i="6"/>
  <c r="X19" i="6" s="1"/>
  <c r="U19" i="6"/>
  <c r="W37" i="8"/>
  <c r="G11" i="8"/>
  <c r="D26" i="8"/>
  <c r="P12" i="8"/>
  <c r="R37" i="8"/>
  <c r="P11" i="8"/>
  <c r="F11" i="8"/>
  <c r="D30" i="8"/>
  <c r="D29" i="8"/>
  <c r="D27" i="8"/>
  <c r="N40" i="11" l="1"/>
  <c r="U40" i="11"/>
  <c r="W40" i="11" s="1"/>
  <c r="P40" i="11"/>
  <c r="V10" i="8"/>
  <c r="V11" i="8"/>
  <c r="T19" i="6"/>
  <c r="W12" i="8"/>
  <c r="W11" i="8"/>
  <c r="R12" i="8"/>
  <c r="R11" i="8"/>
</calcChain>
</file>

<file path=xl/sharedStrings.xml><?xml version="1.0" encoding="utf-8"?>
<sst xmlns="http://schemas.openxmlformats.org/spreadsheetml/2006/main" count="13433" uniqueCount="3209">
  <si>
    <t>Control</t>
  </si>
  <si>
    <t>Annual growth rate</t>
  </si>
  <si>
    <t>2yrs growth</t>
  </si>
  <si>
    <t>10yrs growth</t>
  </si>
  <si>
    <t>Years</t>
  </si>
  <si>
    <t>Using transistor count in compute chips only</t>
  </si>
  <si>
    <t>20yrs growth</t>
  </si>
  <si>
    <t>Year</t>
  </si>
  <si>
    <t>1 nm is a billionth of a meter</t>
  </si>
  <si>
    <t>1 millimeter = 1 million *1 nm</t>
  </si>
  <si>
    <t>nm</t>
  </si>
  <si>
    <t>Proprietary. © H. Mathiesen. This material can be used by others free of charge provided that the author H. Mathiesen is attributed and a clickable link is made visible to the location of used material on www.hmexperience.dk</t>
  </si>
  <si>
    <t xml:space="preserve">Year </t>
  </si>
  <si>
    <t>Chip name</t>
  </si>
  <si>
    <t>announced</t>
  </si>
  <si>
    <t>Transistors</t>
  </si>
  <si>
    <t>TFLOPS</t>
  </si>
  <si>
    <t>usage</t>
  </si>
  <si>
    <t>NA</t>
  </si>
  <si>
    <t>Process</t>
  </si>
  <si>
    <t>node nm</t>
  </si>
  <si>
    <t xml:space="preserve">Apple A15 bionic </t>
  </si>
  <si>
    <t># of</t>
  </si>
  <si>
    <t>dies</t>
  </si>
  <si>
    <t>in billions</t>
  </si>
  <si>
    <t xml:space="preserve">Watt </t>
  </si>
  <si>
    <t>FP32</t>
  </si>
  <si>
    <t>FP16</t>
  </si>
  <si>
    <t>per Watt</t>
  </si>
  <si>
    <t xml:space="preserve">Apple M1 Ultra </t>
  </si>
  <si>
    <t xml:space="preserve">Tesla D1 (Dojo) </t>
  </si>
  <si>
    <t>Layers</t>
  </si>
  <si>
    <t>Notes</t>
  </si>
  <si>
    <t>stacked</t>
  </si>
  <si>
    <t>Flash memory 3D stacked chip, 232 layers per die, 16 dies stacked = 3712 layers in total, likely 16nm because 21/layer Also (16Tbit=2TByte 2,666B transistors/TB)</t>
  </si>
  <si>
    <t>Chip type</t>
  </si>
  <si>
    <t>NPU / AI training</t>
  </si>
  <si>
    <t>SoC / desktops</t>
  </si>
  <si>
    <t>Sources</t>
  </si>
  <si>
    <t>https://en.wikipedia.org/wiki/Apple_silicon#Apple_A15_Bionic</t>
  </si>
  <si>
    <t>https://www.cpu-monkey.com/en/cpu-apple_a15_bionic_5_gpu</t>
  </si>
  <si>
    <t>Associated</t>
  </si>
  <si>
    <t>CPU</t>
  </si>
  <si>
    <t>calc</t>
  </si>
  <si>
    <t>https://en.wikipedia.org/wiki/Apple_silicon#M_series</t>
  </si>
  <si>
    <t>-</t>
  </si>
  <si>
    <t>https://www.cpu-monkey.com/en/igpu-apple_m1_ultra_64_core</t>
  </si>
  <si>
    <t>https://www.cpu-monkey.com/en/cpu-apple_m1_ultra_64_gpu</t>
  </si>
  <si>
    <t>https://resources.nvidia.com/en-us-tensor-core/nvidia-tensor-core-gpu-datasheet</t>
  </si>
  <si>
    <t>https://developer.nvidia.com/blog/nvidia-hopper-architecture-in-depth/</t>
  </si>
  <si>
    <t>https://www.guru3d.com/news-story/nvidia-will-manufacture-h100-gpus-using-tsmc-4-nm-process.html</t>
  </si>
  <si>
    <t>https://www.youtube.com/watch?v=ODSJsviD_SU&amp;t=2566s (2:09:55)</t>
  </si>
  <si>
    <t xml:space="preserve">Cerebras WSE-2 </t>
  </si>
  <si>
    <t>https://f.hubspotusercontent30.net/hubfs/8968533/WSE-2%20Datasheet.pdf</t>
  </si>
  <si>
    <t>https://www.marktechpost.com/2022/05/03/totalenergies-utilize-the-cerebras-cs-2-system-to-turn-an-ai-problem-long-accepted-to-be-memory-bound-into-compute-bound/</t>
  </si>
  <si>
    <t>https://en.wikipedia.org/wiki/Transistor_count</t>
  </si>
  <si>
    <t>https://www.anandtech.com/show/17509/microns-232-layer-nand-now-shipping</t>
  </si>
  <si>
    <t>mm2 per layer</t>
  </si>
  <si>
    <t xml:space="preserve">Transistors </t>
  </si>
  <si>
    <t xml:space="preserve">millions per </t>
  </si>
  <si>
    <t>made</t>
  </si>
  <si>
    <t>mm2</t>
  </si>
  <si>
    <t>https://electrek.co/2019/11/10/tesla-update-forks-features-for-model-3s-built-pre-post-april-2019/</t>
  </si>
  <si>
    <t>https://cleantechnica.com/2019/06/15/teslas-new-hw3-self-driving-computer-its-a-beast-cleantechnica-deep-dive/</t>
  </si>
  <si>
    <t xml:space="preserve">Apple M2 Ultra </t>
  </si>
  <si>
    <t>https://www.youtube.com/watch?v=3ZoP1GCNwYE&amp;t=318</t>
  </si>
  <si>
    <t>Micron V-NAND 3D</t>
  </si>
  <si>
    <t>Intel i9 13850HX</t>
  </si>
  <si>
    <t>CPU / notebooks</t>
  </si>
  <si>
    <t>https://nvidianews.nvidia.com/news/nvidia-introduces-drive-agx-orin-advanced-software-defined-platform-for-autonomous-machines</t>
  </si>
  <si>
    <t>https://en.wikichip.org/wiki/tesla_(car_company)/fsd_chip?utm_content=cmp-true</t>
  </si>
  <si>
    <t>https://www.youtube.com/watch?v=3ZoP1GCNwYE&amp;t=700s</t>
  </si>
  <si>
    <t>https://www.youtube.com/watch?v=3ZoP1GCNwYE&amp;t=319</t>
  </si>
  <si>
    <t>multi</t>
  </si>
  <si>
    <t>memory</t>
  </si>
  <si>
    <t>RAM in GB</t>
  </si>
  <si>
    <t>https://nanoreview.net/en/cpu/apple-m2-ultra</t>
  </si>
  <si>
    <t>https://en.wikipedia.org/wiki/Apple_M2#:~:text=In%20total%2C%20the%20M2%20Max%20GPU%20contains%20up,9728%20ALUs%20and%2027.2%20TFLOPS%20of%20FP32%20performance.</t>
  </si>
  <si>
    <t>https://www.cpu-monkey.com/en/cpu-apple_m2_ultra_60_gpu</t>
  </si>
  <si>
    <t>https://www.techpowerup.com/gpu-specs/a100-pcie-40-gb.c3623</t>
  </si>
  <si>
    <t>https://www.techpowerup.com/gpu-specs/a100-pcie-40-gb.c3624</t>
  </si>
  <si>
    <t>https://www.techpowerup.com/gpu-specs/a100-pcie-40-gb.c3625</t>
  </si>
  <si>
    <t>https://www.techpowerup.com/gpu-specs/a100-pcie-40-gb.c3626</t>
  </si>
  <si>
    <t>https://www.techpowerup.com/gpu-specs/a100-pcie-40-gb.c3628</t>
  </si>
  <si>
    <t>https://www.techpowerup.com/gpu-specs/a100-pcie-40-gb.c3629</t>
  </si>
  <si>
    <t>https://www.techpowerup.com/gpu-specs/a100-pcie-40-gb.c3630</t>
  </si>
  <si>
    <t>BF16 AI</t>
  </si>
  <si>
    <t>https://www.nvidia.com/content/dam/en-zz/Solutions/gtcf21/jetson-orin/nvidia-jetson-agx-orin-technical-brief.pdf</t>
  </si>
  <si>
    <t>https://blogs.nvidia.com/blog/2022/09/20/drive-thor/</t>
  </si>
  <si>
    <t>https://nvidianews.nvidia.com/news/nvidia-unveils-drive-thor-centralized-car-computer-unifying-cluster-infotainment-automated-driving-and-parking-in-a-single-cost-saving-system</t>
  </si>
  <si>
    <t>Nvidia GH200</t>
  </si>
  <si>
    <t>https://resources.nvidia.com/en-us-grace-cpu/grace-hopper-superchip</t>
  </si>
  <si>
    <t>https://www.tomshardware.com/news/nvidia-unveils-dgx-gh200-supercomputer-and-mgx-systems-grace-hopper-superchips-in-production</t>
  </si>
  <si>
    <t>Memory 64GB*8</t>
  </si>
  <si>
    <t>AI model</t>
  </si>
  <si>
    <t>source</t>
  </si>
  <si>
    <t>https://www.hardware-corner.net/guides/computer-to-run-llama-ai-model/</t>
  </si>
  <si>
    <t>parameters</t>
  </si>
  <si>
    <t>Llama</t>
  </si>
  <si>
    <t>billions</t>
  </si>
  <si>
    <t>Min VRAM</t>
  </si>
  <si>
    <t>GB</t>
  </si>
  <si>
    <t>Ratio</t>
  </si>
  <si>
    <t>Average</t>
  </si>
  <si>
    <t>in billion</t>
  </si>
  <si>
    <t>Source</t>
  </si>
  <si>
    <t>https://www.pugetsystems.com/solutions/scientific-computing-workstations/machine-learning-ai/hardware-recommendations/</t>
  </si>
  <si>
    <t>DRAM for CPU need to be 2X that of VRAM for AI models to run well</t>
  </si>
  <si>
    <t>https://ark.intel.com/content/www/us/en/ark/products/232138/intel-core-i913980hx-processor-36m-cache-up-to-5-60-ghz.html</t>
  </si>
  <si>
    <t>https://www.techpowerup.com/cpu-specs/core-i9-13980hx.c3016</t>
  </si>
  <si>
    <t>Die size</t>
  </si>
  <si>
    <t>https://www.notebookcheck.net/NVIDIA-GeForce-RTX-4070-Laptop-GPU-Benchmarks-and-Specs.675690.0.html</t>
  </si>
  <si>
    <t>https://www.dell.com/en-us/shop/workstations-isv-certified/precision-7920-tower-workstation/spd/precision-7920-workstation/xctopt7920us_4?configurationid=3eb87352-f557-4fff-abfe-5a9a62aa8b6a</t>
  </si>
  <si>
    <t>name</t>
  </si>
  <si>
    <t>GPU /notebooks</t>
  </si>
  <si>
    <t>operational</t>
  </si>
  <si>
    <t>Nvidia DGX GH200</t>
  </si>
  <si>
    <t xml:space="preserve">Name of </t>
  </si>
  <si>
    <t>chips</t>
  </si>
  <si>
    <t>used</t>
  </si>
  <si>
    <t>WSE-2</t>
  </si>
  <si>
    <t>https://www.youtube.com/watch?app=desktop&amp;v=oVHkXEzKzxM&amp;feature=youtu.be&amp;noapp=1</t>
  </si>
  <si>
    <t>https://www.youtube.com/watch?app=desktop&amp;v=oVHkXEzKzxM&amp;feature=youtu.be&amp;noapp=2</t>
  </si>
  <si>
    <t>chips only</t>
  </si>
  <si>
    <t>Terra</t>
  </si>
  <si>
    <t>Exa</t>
  </si>
  <si>
    <t>https://en.wikipedia.org/wiki/Metric_prefix</t>
  </si>
  <si>
    <t>10^12</t>
  </si>
  <si>
    <t>10^18</t>
  </si>
  <si>
    <t>notes</t>
  </si>
  <si>
    <t>https://en.wikipedia.org/wiki/Tesla_Dojo</t>
  </si>
  <si>
    <t>Watt</t>
  </si>
  <si>
    <t>chip</t>
  </si>
  <si>
    <t>per</t>
  </si>
  <si>
    <t>AI supercomputer</t>
  </si>
  <si>
    <t>calculated</t>
  </si>
  <si>
    <t>https://www.cerebras.net/condor-galaxy-1</t>
  </si>
  <si>
    <t>https://f.hubspotusercontent30.net/hubfs/8968533/CS-2%20Data%20Sheet.pdf</t>
  </si>
  <si>
    <t>USD</t>
  </si>
  <si>
    <t>system FP32</t>
  </si>
  <si>
    <t>Cost USD</t>
  </si>
  <si>
    <t>cost of Mac Studio</t>
  </si>
  <si>
    <t>https://www.tomshardware.com/news/nvidia-hopper-h100-80gb-price-revealed</t>
  </si>
  <si>
    <t>https://en.wikipedia.org/wiki/Human_evolution</t>
  </si>
  <si>
    <t>https://www.businesswire.com/news/home/20220927006137/en/Kioxia-Develops-Industry%E2%80%99s-First-2TB-microSDXC-Memory-Card-Working-Prototypes#:~:text=Mass%20production%20of%20the%20KIOXIA,scheduled%20to%20begin%20in%202023.&amp;text=%5B1%5D%20As%20of%20September%2028%2C%202022.</t>
  </si>
  <si>
    <t>Peta</t>
  </si>
  <si>
    <t>10^15</t>
  </si>
  <si>
    <t>https://arxiv.org/abs/1906.01703</t>
  </si>
  <si>
    <t>https://en.wikipedia.org/wiki/Neuron#Connectivity</t>
  </si>
  <si>
    <t>https://hypertextbook.com/facts/2001/JacquelineLing.shtml</t>
  </si>
  <si>
    <t>https://en.wikipedia.org/wiki/Human_brain</t>
  </si>
  <si>
    <t>https://www.slideshare.net/antonioeram/raymond-kurzweil-presentation</t>
  </si>
  <si>
    <t>2009 presentation slide 20</t>
  </si>
  <si>
    <t>calculation</t>
  </si>
  <si>
    <t>AMD's MI300</t>
  </si>
  <si>
    <t>5 &amp; 6</t>
  </si>
  <si>
    <t>El Capitan</t>
  </si>
  <si>
    <t>https://www.tomshardware.com/news/new-amd-instinct-mi300-details-emerge-debuts-in-2-exaflop-el-capitan-supercomputer</t>
  </si>
  <si>
    <t>MI300</t>
  </si>
  <si>
    <t>https://www.techpowerup.com/gpu-specs/radeon-instinct-mi300.c4019</t>
  </si>
  <si>
    <t>https://www.techpowerup.com/gpu-specs/radeon-instinct-mi300.c4020</t>
  </si>
  <si>
    <t>https://www.techpowerup.com/gpu-specs/radeon-instinct-mi300.c4021</t>
  </si>
  <si>
    <t>https://www.techpowerup.com/gpu-specs/geforce-rtx-4070-mobile.c3944</t>
  </si>
  <si>
    <t>Nvidia present their DGX supercomputer as having 1 exaflops. This is true when looking at FP8 compute but I report the FP16 compute that is half of that.</t>
  </si>
  <si>
    <t>Main use</t>
  </si>
  <si>
    <t>HPC &amp; AI</t>
  </si>
  <si>
    <t>http://large.stanford.edu/courses/2014/ph240/labonta1/</t>
  </si>
  <si>
    <t>https://en.wikipedia.org/wiki/GPT-3</t>
  </si>
  <si>
    <t>https://en.wikipedia.org/wiki/GPT-4</t>
  </si>
  <si>
    <t>$20 month</t>
  </si>
  <si>
    <t>free</t>
  </si>
  <si>
    <t>https://chat.openai.com/</t>
  </si>
  <si>
    <t>Pa./GB</t>
  </si>
  <si>
    <t>or expected</t>
  </si>
  <si>
    <t>GB/Pa.</t>
  </si>
  <si>
    <t>Max input</t>
  </si>
  <si>
    <t>https://www.semafor.com/article/03/24/2023/the-secret-history-of-elon-musk-sam-altman-and-openai</t>
  </si>
  <si>
    <t>https://en.wikipedia.org/wiki/GPT-3#GPT-3.5</t>
  </si>
  <si>
    <t>https://www.digitaltrends.com/computing/gpt-4-vs-gpt-35/</t>
  </si>
  <si>
    <t>Max AI model</t>
  </si>
  <si>
    <t>Parameters</t>
  </si>
  <si>
    <t>https://platform.openai.com/docs/models/gpt-4</t>
  </si>
  <si>
    <t>https://platform.openai.com/docs/models/gpt-3-5</t>
  </si>
  <si>
    <t>https://en.wikipedia.org/wiki/GPT-5</t>
  </si>
  <si>
    <t>https://en.wikipedia.org/wiki/GPT-3#GPT-3.6</t>
  </si>
  <si>
    <t>https://the-decoder.com/gpt-4-architecture-datasets-costs-and-more-leaked/</t>
  </si>
  <si>
    <t>billion tokens</t>
  </si>
  <si>
    <t>https://en.wikichip.org/wiki/tesla_(car_company)/fsd_chip#Memory_controller</t>
  </si>
  <si>
    <t>8 billion alive</t>
  </si>
  <si>
    <t>This imply that chips that have RAM for both CPU and GPU need to have their GB of memory divided by 3 before we can calculate the billion of parameters that chip support</t>
  </si>
  <si>
    <r>
      <t xml:space="preserve">Sources: </t>
    </r>
    <r>
      <rPr>
        <sz val="11"/>
        <color theme="1"/>
        <rFont val="Calibri"/>
        <family val="2"/>
        <scheme val="minor"/>
      </rPr>
      <t>Follow link below video to download spreadsheet containing clickable sources</t>
    </r>
  </si>
  <si>
    <t>cost of iPhone</t>
  </si>
  <si>
    <t>Markup for cooling communication etc.</t>
  </si>
  <si>
    <t>Each tile has 11GB of SRAM. System of 3000D1 chips has Tiles = 3000/25=120. So System has 120*11GB=1320GB RAM of on tile memory. System also have 13000GB of off-board memory. Total System memory is therefore 14320GB.</t>
  </si>
  <si>
    <t># of layers</t>
  </si>
  <si>
    <t>in neural</t>
  </si>
  <si>
    <t>Cost of</t>
  </si>
  <si>
    <t>training</t>
  </si>
  <si>
    <t>million $</t>
  </si>
  <si>
    <t>https://www.tomshardware.com/news/startup-builds-supercomputer-with-22000-nvidias-h100-compute-gpus</t>
  </si>
  <si>
    <t>https://bard.google.com/</t>
  </si>
  <si>
    <t>Estimated</t>
  </si>
  <si>
    <t>size of training</t>
  </si>
  <si>
    <t>database in GB</t>
  </si>
  <si>
    <t>watt</t>
  </si>
  <si>
    <t>Brain can use all of its memory as input plus sensory input</t>
  </si>
  <si>
    <t>https://ai.meta.com/llama/</t>
  </si>
  <si>
    <t>https://golden.com/wiki/Perplexity_AI-X9D5GWB#:~:text=Perplexity%20AI%20is%20a%20company%20developing%20an%20AI-based,answers%20to%20complex%20questions%20using%20large%20language%20models.</t>
  </si>
  <si>
    <t>https://www.perplexity.ai/</t>
  </si>
  <si>
    <t>free/$20MD</t>
  </si>
  <si>
    <t>https://labs.perplexity.ai/</t>
  </si>
  <si>
    <t>https://www.worldometers.info/world-population/</t>
  </si>
  <si>
    <t xml:space="preserve">Source </t>
  </si>
  <si>
    <t>https://en.wikipedia.org/wiki/Moore%27s_law#/</t>
  </si>
  <si>
    <t>https://ourworldindata.org/grapher/transistors-per-microprocessor</t>
  </si>
  <si>
    <t>https://en.wikipedia.org/wiki/Moore%27s_law#/media/File:Moore's_Law_Transistor_Count_1970-2020.png</t>
  </si>
  <si>
    <t>Flash memory</t>
  </si>
  <si>
    <t>https://en.wikipedia.org/wiki/Transistor_count#Memory</t>
  </si>
  <si>
    <t>Intel 8008</t>
  </si>
  <si>
    <t>Apple A16</t>
  </si>
  <si>
    <t>https://en.wikipedia.org/wiki/Transistor_count#Microprocessors</t>
  </si>
  <si>
    <t>Computational ICs</t>
  </si>
  <si>
    <t>RAM or random access memory</t>
  </si>
  <si>
    <t>Intel 1103</t>
  </si>
  <si>
    <t>Samsung 128GB</t>
  </si>
  <si>
    <t>follow link</t>
  </si>
  <si>
    <t>Source for nm law</t>
  </si>
  <si>
    <t>https://semiengineering.com/scaling-up-and-down/</t>
  </si>
  <si>
    <t>Source for supercomputers TFLOPS law</t>
  </si>
  <si>
    <t>https://ourworldindata.org/grapher/supercomputer-power-flops</t>
  </si>
  <si>
    <t>Giga</t>
  </si>
  <si>
    <t>10^9</t>
  </si>
  <si>
    <t>https://en.m.wikipedia.org/wiki/List_of_fastest_computers?darkschemeovr=1&amp;safesearch=moderate&amp;setlang=da-DK&amp;ssp=1</t>
  </si>
  <si>
    <t>TFLOPS FP32</t>
  </si>
  <si>
    <t>Frontier</t>
  </si>
  <si>
    <t xml:space="preserve">Part of MS Edge browser that is freely available </t>
  </si>
  <si>
    <t>https://claude.ai/login</t>
  </si>
  <si>
    <t>https://en.wikipedia.org/wiki/Microsoft_Bing</t>
  </si>
  <si>
    <t>https://en.wikipedia.org/wiki/Anthropic</t>
  </si>
  <si>
    <t>https://en.wikipedia.org/wiki/Anthropic#Claude</t>
  </si>
  <si>
    <t>https://en.wikipedia.org/wiki/Bard_(chatbot)</t>
  </si>
  <si>
    <t>https://en.wikipedia.org/wiki/LaMDA</t>
  </si>
  <si>
    <t>https://en.wikipedia.org/wiki/Stable_Diffusion</t>
  </si>
  <si>
    <t>https://beta.dreamstudio.ai/generate</t>
  </si>
  <si>
    <t>https://en.wikipedia.org/wiki/Stable_Diffusion#Architecture</t>
  </si>
  <si>
    <t>https://en.wikipedia.org/wiki/DALL-E</t>
  </si>
  <si>
    <t>paid</t>
  </si>
  <si>
    <t>https://labs.openai.com/</t>
  </si>
  <si>
    <t>https://www.howtogeek.com/853529/hardware-for-stable-diffusion/</t>
  </si>
  <si>
    <t>This is the same kind of model as Stable diffusion so I simply multiply the 24GB with the number of parameters ratio for the two models</t>
  </si>
  <si>
    <t>https://en.wikipedia.org/wiki/Stable_Diffusion#Training_procedures</t>
  </si>
  <si>
    <t>This is the same kind of model as Stable diffusion so I simply multiply the 115Watt with the number of parameters ratio for the two models</t>
  </si>
  <si>
    <t>Humans train their neural networks constantly through life although the ability to do it effectively decreases with age.</t>
  </si>
  <si>
    <t>https://the-decoder.com/training-cost-for-stable-diffusion-was-just-600000-and-that-is-a-good-sign-for-ai-progress/</t>
  </si>
  <si>
    <t>Likely cost 200000 USD to raise a middleclass human to age of 20 years old</t>
  </si>
  <si>
    <t>Likely cost 200,000 USD to raise a middleclass human to age of 20 years old</t>
  </si>
  <si>
    <t>Implied annual growth</t>
  </si>
  <si>
    <t>electric computational ICs</t>
  </si>
  <si>
    <t># of transistors</t>
  </si>
  <si>
    <r>
      <t xml:space="preserve">Sources: </t>
    </r>
    <r>
      <rPr>
        <sz val="9"/>
        <color theme="1"/>
        <rFont val="Calibri"/>
        <family val="2"/>
        <scheme val="minor"/>
      </rPr>
      <t>Follow link below video to download spreadsheet containing clickable sources</t>
    </r>
  </si>
  <si>
    <t>electric RAM ICs</t>
  </si>
  <si>
    <t>electric flash memory ICs</t>
  </si>
  <si>
    <t>FP16/FP32</t>
  </si>
  <si>
    <t>Supercomputer</t>
  </si>
  <si>
    <t>FP8 INT8</t>
  </si>
  <si>
    <t>FP8/BF16</t>
  </si>
  <si>
    <t>https://en.wikichip.org/wiki/tesla_(car_company)/fsd_chip#CPU</t>
  </si>
  <si>
    <t>B) Conversion rate between unified RAM and billion of parameters in a vision centric model as represented by Stable diffusion</t>
  </si>
  <si>
    <t xml:space="preserve">Stable </t>
  </si>
  <si>
    <t>diffusion</t>
  </si>
  <si>
    <t>Unified memory</t>
  </si>
  <si>
    <t>memory RAM GB</t>
  </si>
  <si>
    <t>SoC / AI inference, vision</t>
  </si>
  <si>
    <t>GPU</t>
  </si>
  <si>
    <t>https://arxiv.org/abs/2302.05442</t>
  </si>
  <si>
    <t>Using transistor count in flash memory chips only</t>
  </si>
  <si>
    <t>Using transistor count in RAM memory chips only</t>
  </si>
  <si>
    <t>Chip name &amp; notes</t>
  </si>
  <si>
    <t>X increase</t>
  </si>
  <si>
    <t>Toshiba 64Mb</t>
  </si>
  <si>
    <t>Intel 80486</t>
  </si>
  <si>
    <t>nm node</t>
  </si>
  <si>
    <t>Samsung 128Gb</t>
  </si>
  <si>
    <t xml:space="preserve">128Gb =16GB </t>
  </si>
  <si>
    <t>NEC 64Mb</t>
  </si>
  <si>
    <t>16Tb=2TB</t>
  </si>
  <si>
    <t>The 4 nm is not mentioned directly in source but it can be calculated indirectly for year 2023 see how by following link</t>
  </si>
  <si>
    <t>Toshiba 1Tb</t>
  </si>
  <si>
    <t>Micron V-NAND 16Tb</t>
  </si>
  <si>
    <t>Follow link</t>
  </si>
  <si>
    <t>https://www.youtube.com/watch?v=1uIzS1uCOcE</t>
  </si>
  <si>
    <t>Common knowledge</t>
  </si>
  <si>
    <t>follow link for explanation</t>
  </si>
  <si>
    <t>https://www.theregister.com/2023/07/21/tesla_dojo_spending/</t>
  </si>
  <si>
    <t>nm per meter</t>
  </si>
  <si>
    <t>nm per millimeter</t>
  </si>
  <si>
    <t>Calculating Moore's law</t>
  </si>
  <si>
    <t># of nm^2 in a millimeter^2</t>
  </si>
  <si>
    <t>nm^2 per mm^2</t>
  </si>
  <si>
    <t>1 million</t>
  </si>
  <si>
    <t>mm^2</t>
  </si>
  <si>
    <t>MTr/mm^2</t>
  </si>
  <si>
    <t>nm^2/(Tr/mm^2)</t>
  </si>
  <si>
    <t>control</t>
  </si>
  <si>
    <t>nm/Tr</t>
  </si>
  <si>
    <t>GB RAM</t>
  </si>
  <si>
    <t>TB flash</t>
  </si>
  <si>
    <t>Sources and notes</t>
  </si>
  <si>
    <t>Convert bit to bytes</t>
  </si>
  <si>
    <t>https://convertlive.com/u/convert/bits/to/bytes</t>
  </si>
  <si>
    <t>Trans/GB in RAM</t>
  </si>
  <si>
    <t>Trans/GB in flash</t>
  </si>
  <si>
    <t>HM best guess</t>
  </si>
  <si>
    <t>https://ourworldindata.org/grapher/historical-cost-of-computer-memory-and-storage</t>
  </si>
  <si>
    <t>Price of RAM factory gate</t>
  </si>
  <si>
    <t>Price of flash SS factory gate</t>
  </si>
  <si>
    <t>AGI brain</t>
  </si>
  <si>
    <t>A human sized body will not have a big battery so 50W for brain and 50W for rest of body is it.</t>
  </si>
  <si>
    <t>10^6</t>
  </si>
  <si>
    <t>Follow link for explanation</t>
  </si>
  <si>
    <t>https://en.wikipedia.org/wiki/El_Capitan_(supercomputer)</t>
  </si>
  <si>
    <t>Ray Kurzweil 2009 presentation slide 20</t>
  </si>
  <si>
    <t xml:space="preserve">1 brain = 10exaflops see </t>
  </si>
  <si>
    <t>Power</t>
  </si>
  <si>
    <t>in watt</t>
  </si>
  <si>
    <t>https://bdtechtalks.com/2020/06/22/direct-fit-artificial-neural-networks/</t>
  </si>
  <si>
    <t>https://www.beren.io/2022-08-06-The-scale-of-the-brain-vs-machine-learning/</t>
  </si>
  <si>
    <t>https://www.lesswrong.com/posts/7htxRA4TkHERiuPYK/parameter-vs-synapse</t>
  </si>
  <si>
    <t>Sources for computational power of human brain</t>
  </si>
  <si>
    <t>https://neurotray.com/how-many-calculations-per-second-can-the-human-brain-do/</t>
  </si>
  <si>
    <t>http://www.fhi.ox.ac.uk/brain-emulation-roadmap-report.pdf</t>
  </si>
  <si>
    <t>See table page 84 and 85</t>
  </si>
  <si>
    <t>https://aiimpacts.org/brain-performance-in-flops/</t>
  </si>
  <si>
    <t>https://superuser.com/questions/282202/which-consumes-more-power-hard-drive-or-sd-card-card-reader</t>
  </si>
  <si>
    <t>for chip</t>
  </si>
  <si>
    <t>for RAM</t>
  </si>
  <si>
    <t>year made</t>
  </si>
  <si>
    <t xml:space="preserve">m </t>
  </si>
  <si>
    <t>system in</t>
  </si>
  <si>
    <t>days in a year</t>
  </si>
  <si>
    <t>https://www.omnicalculator.com/other/video-size</t>
  </si>
  <si>
    <t>years old human</t>
  </si>
  <si>
    <t>hours in a day</t>
  </si>
  <si>
    <t>hours for sleep</t>
  </si>
  <si>
    <t>Follow link to get reasoning</t>
  </si>
  <si>
    <t xml:space="preserve">Needed GB of video/audio to train 36 year old human brain </t>
  </si>
  <si>
    <t>https://en.wikipedia.org/wiki/GPT-3#Training_and_capabilities</t>
  </si>
  <si>
    <t>https://aws.amazon.com/about-aws/whats-new/2023/08/claude-2-foundation-model-anthropic-amazon-bedrock/</t>
  </si>
  <si>
    <t>https://ai.meta.com/blog/large-language-model-llama-meta-ai/</t>
  </si>
  <si>
    <t>vision ai model trained on images not text tokens</t>
  </si>
  <si>
    <t>Training data</t>
  </si>
  <si>
    <t>or images</t>
  </si>
  <si>
    <t>Facts about human brain</t>
  </si>
  <si>
    <t>https://elifesciences.org/articles/10778</t>
  </si>
  <si>
    <t>bits per byte</t>
  </si>
  <si>
    <t>synapses per neuron in 3 year old human</t>
  </si>
  <si>
    <t>Second method for calculating storage and computation in human brain</t>
  </si>
  <si>
    <t>Times/second an average synapse fire</t>
  </si>
  <si>
    <t>Table page 84 and 85 has studies that use different measures of how often a synapse fire on average</t>
  </si>
  <si>
    <t>2nd source</t>
  </si>
  <si>
    <t>https://www.khanacademy.org/test-prep/mcat/organ-systems/neural-synapses/a/signal-propagation-the-movement-of-signals-between-neurons</t>
  </si>
  <si>
    <t>3rd source</t>
  </si>
  <si>
    <t>https://www.quora.com/Why-dont-neurons-in-the-brain-fire-all-the-time/answer/Paul-King-2</t>
  </si>
  <si>
    <t>Tflops</t>
  </si>
  <si>
    <t>Tflops in a human brain by brain structure</t>
  </si>
  <si>
    <t>https://www.openphilanthropy.org/research/new-report-on-how-much-computational-power-it-takes-to-match-the-human-brain/</t>
  </si>
  <si>
    <t>https://www.nih.gov/news-events/nih-research-matters/expanded-map-human-brain#:~:text=At%20a%20Glance%201%20Researchers%20created%20a%20high-resolution,of%20specialized%20brain%20regions%20in%20health%20and%20disease.</t>
  </si>
  <si>
    <t>&gt;360</t>
  </si>
  <si>
    <t>&gt;1000?</t>
  </si>
  <si>
    <t>So far this is unknown</t>
  </si>
  <si>
    <t>multi-modal model takes all sorts of data input</t>
  </si>
  <si>
    <t>Mega</t>
  </si>
  <si>
    <t>https://en.wikipedia.org/wiki/Transistor_count#GPUs</t>
  </si>
  <si>
    <t>Adult brain has 86 billion brain cells and it is 3D</t>
  </si>
  <si>
    <t>Calculated</t>
  </si>
  <si>
    <t>Nvidia H100</t>
  </si>
  <si>
    <t>in</t>
  </si>
  <si>
    <t>Follow links in calculation for explanation</t>
  </si>
  <si>
    <t>Tesla chip also has a GPU with 0.6Tflops that like is measured in FP16. It also has CPU that likely is FP32 but no mention how fast that is</t>
  </si>
  <si>
    <t>Price in 2023 of 1000GB of DRAM  is 25000 USD price increase from 2TB to 3TB using 24*128GB modules</t>
  </si>
  <si>
    <t>Ratio Pa./GB of unified memory in typical LLM type of AI model</t>
  </si>
  <si>
    <t>growth</t>
  </si>
  <si>
    <t>https://twitter.com/EMostaque/status/1674479761429504017</t>
  </si>
  <si>
    <t>Moore's Law</t>
  </si>
  <si>
    <t>multiplicator</t>
  </si>
  <si>
    <t>https://youtu.be/0EIwhvqCX1c?t=20</t>
  </si>
  <si>
    <t>million watt</t>
  </si>
  <si>
    <t>electricity</t>
  </si>
  <si>
    <t>USD per kWh</t>
  </si>
  <si>
    <t>hours in the day that data center is running</t>
  </si>
  <si>
    <t>Global elec.</t>
  </si>
  <si>
    <t>production</t>
  </si>
  <si>
    <t>Kilo</t>
  </si>
  <si>
    <t>10^3</t>
  </si>
  <si>
    <t>Growth</t>
  </si>
  <si>
    <t>in TWh</t>
  </si>
  <si>
    <t>https://yearbook.enerdata.net/electricity/world-electricity-production-statistics.html</t>
  </si>
  <si>
    <t>https://ourworldindata.org/grapher/levelized-cost-of-energy</t>
  </si>
  <si>
    <t>https://the-decoder.com/nvidia-announces-new-superchip-and-collab-with-hugging-face/</t>
  </si>
  <si>
    <t>GPU AI training &amp; infer.</t>
  </si>
  <si>
    <t>Flash memory 3D chip</t>
  </si>
  <si>
    <t>https://arxiv.org/pdf/2302.13971.pdf</t>
  </si>
  <si>
    <t>https://en.wikipedia.org/wiki/Large_language_model</t>
  </si>
  <si>
    <t>https://waxy.org/2022/08/exploring-12-million-of-the-images-used-to-train-stable-diffusions-image-generator/</t>
  </si>
  <si>
    <t>Second source for converting model parameters in LLMs into GB</t>
  </si>
  <si>
    <t>Name of AI model or</t>
  </si>
  <si>
    <t>computing entity</t>
  </si>
  <si>
    <t>per watt</t>
  </si>
  <si>
    <t>&lt;0.5 million alive</t>
  </si>
  <si>
    <t>https://en.m.wikipedia.org/wiki/Chimpanzee</t>
  </si>
  <si>
    <t>billion neurons human brain</t>
  </si>
  <si>
    <t>billion neurons Chimpanzee brain</t>
  </si>
  <si>
    <t>https://en.wikipedia.org/wiki/List_of_animals_by_number_of_neurons</t>
  </si>
  <si>
    <t>synapses per neuron in adult human</t>
  </si>
  <si>
    <t>Tflops in Chimpanzee brain</t>
  </si>
  <si>
    <t>Number of synapses in adult human brain</t>
  </si>
  <si>
    <t>Number of synapses in a 3 year old human brain</t>
  </si>
  <si>
    <t>Number of synapses in a chimpanzee brain</t>
  </si>
  <si>
    <t>GB in adult chimp. brain calculated by brain structure</t>
  </si>
  <si>
    <t>GB in adult human brain calculated by brain structure</t>
  </si>
  <si>
    <t>Chimps do not live as long as humans</t>
  </si>
  <si>
    <t>Chimpanzees train their neural networks constantly through life although the ability to do it effectively decreases with age.</t>
  </si>
  <si>
    <t>https://en.wikipedia.org/wiki/LLaMA</t>
  </si>
  <si>
    <t>See text at U3 and follow link</t>
  </si>
  <si>
    <t>https://www.cnbc.com/2023/08/11/nvidia-ai-driven-rally-pushed-earnings-multiple-higher-than-tesla.html</t>
  </si>
  <si>
    <t>https://www.statista.com/statistics/988034/nvidia-revenue-by-segment/</t>
  </si>
  <si>
    <t>https://www.engadget.com/samsung-unveils-a-512-gb-ddr-5-ram-module-102447443.html</t>
  </si>
  <si>
    <t>Limiting factor for making an AGI android is power and size of needed RAM not the CPU/GPU</t>
  </si>
  <si>
    <t>https://en.wikipedia.org/wiki/DDR5_SDRAM</t>
  </si>
  <si>
    <t>https://www.anandtech.com/show/16900/samsung-teases-512-gb-ddr5-7200-modules</t>
  </si>
  <si>
    <t>Best RAM card today is 0.512TB and they are big and power hungry</t>
  </si>
  <si>
    <t>https://www.crucial.com/support/articles-faq-memory/how-much-power-does-memory-use</t>
  </si>
  <si>
    <t>https://en.wikipedia.org/wiki/List_of_animals_by_number_of_neurons#List_of_animal_species_by_forebrain_(cerebrum_or_pallium)_neuron_number</t>
  </si>
  <si>
    <t>Mainly sensing &amp; thought</t>
  </si>
  <si>
    <t>Number of synapse in adult human forebrain</t>
  </si>
  <si>
    <t>Tflops in a human forebrain by brain structure</t>
  </si>
  <si>
    <t>GB in adult human forebrain calculated by brain structure</t>
  </si>
  <si>
    <t>https://www.nvidia.com/en-us/data-center/grace-hopper-superchip/</t>
  </si>
  <si>
    <t>TFLOPS per</t>
  </si>
  <si>
    <t>watt system</t>
  </si>
  <si>
    <t>https://twitter.com/realGeorgeHotz/status/1690894647755988993</t>
  </si>
  <si>
    <t>AI training at OpenAI</t>
  </si>
  <si>
    <t>https://youtu.be/7KJibx077bE?t=171</t>
  </si>
  <si>
    <t>https://www.kryptex.com/en/hardware/nvidia-a100</t>
  </si>
  <si>
    <t>https://youtu.be/7KJibx077bE?t=438</t>
  </si>
  <si>
    <t>billion USD</t>
  </si>
  <si>
    <t>Value of AI</t>
  </si>
  <si>
    <t>chip sales</t>
  </si>
  <si>
    <t>Annual</t>
  </si>
  <si>
    <t>days in year data center is running</t>
  </si>
  <si>
    <t>global TWh</t>
  </si>
  <si>
    <t>Watt per 8GB of DDR4 RAM for 2023</t>
  </si>
  <si>
    <t xml:space="preserve">Cost of AI </t>
  </si>
  <si>
    <t>https://data.worldbank.org/indicator/NY.GDP.MKTP.CD</t>
  </si>
  <si>
    <t>Source for equating the number of parameters in AI model to number of synapses in a human brain. It should be stressed that all these sources are not high quality scientific sources but HM has not been able to find better alternative ways to compare complexity of human brain with that of AI models</t>
  </si>
  <si>
    <t>GB RAM needed</t>
  </si>
  <si>
    <t xml:space="preserve">For every 1 billion parameters LLM </t>
  </si>
  <si>
    <t>Cost plus profit margin for 1TB RAM</t>
  </si>
  <si>
    <t>CPU/GPU AI training &amp; inf.</t>
  </si>
  <si>
    <t>Follow links</t>
  </si>
  <si>
    <t>description</t>
  </si>
  <si>
    <t>Markup for cooling communication etc. for personal level computers</t>
  </si>
  <si>
    <t>Markup for cooling communication etc. for datacenter level computers</t>
  </si>
  <si>
    <t>Estimate GB of video/audio needed for database sufficiently large to train human brain to become highly conscious and intelligent</t>
  </si>
  <si>
    <t>Power for android body excluding AGI computer</t>
  </si>
  <si>
    <t>Cost of FSD computer my estimate not including cost of developing AI driver software</t>
  </si>
  <si>
    <t>Dall-E 2 by OpenAI</t>
  </si>
  <si>
    <t xml:space="preserve">Bard/LaMDA by Google </t>
  </si>
  <si>
    <t>Stable Diffusion 2.1 by Stability AI</t>
  </si>
  <si>
    <t># of pixels processed per second</t>
  </si>
  <si>
    <t>To compare Tesla HW3 37TFLOPS is enough to process 1 billion image pixels per second or 8 Full HD 1080p video at 60fps.</t>
  </si>
  <si>
    <t>https://www.techpowerup.com/310783/inflection-ai-builds-supercomputer-with-22-000-nvidia-h100-gpus</t>
  </si>
  <si>
    <t>likely 2024</t>
  </si>
  <si>
    <t>$10, 1000 img</t>
  </si>
  <si>
    <t>EPYC,MI250</t>
  </si>
  <si>
    <t>https://www.youtube.com/watch?v=Y6Sgp7y178k&amp;t=115s</t>
  </si>
  <si>
    <t>billion synapses</t>
  </si>
  <si>
    <t>Geoffrey Hinton statement is why the second take on the human brain is the more realistic description of human brain</t>
  </si>
  <si>
    <t>The 258 trillion synopses/parameters is a max number as there can be no more synapses and it could be much lower if only a small percentage of synapses are able to do actual work because most are dormant. See also text on sources for equating parameters and synapses and why Geoffrey Hinton thinks 1 AI model parameter can do the work of many brain synapses</t>
  </si>
  <si>
    <t>Most likely same as GPT3</t>
  </si>
  <si>
    <t>Same as GPT4-</t>
  </si>
  <si>
    <t>Alternative source to parameter count in GPT4 say 1000 billion parameters</t>
  </si>
  <si>
    <t>https://www.zdnet.com/article/apple-m2-ultra-what-makes-it-special-and-for-whom/</t>
  </si>
  <si>
    <t>Memory</t>
  </si>
  <si>
    <t>bandwidth</t>
  </si>
  <si>
    <t>GB/s</t>
  </si>
  <si>
    <t>https://youtu.be/Y6Sgp7y178k?t=178</t>
  </si>
  <si>
    <t>https://youtu.be/Y6Sgp7y178k?t=179</t>
  </si>
  <si>
    <t>https://en.wikichip.org/wiki/tesla_(car_company)/fsd_chip#Memory_controller?utm_content=cmp-true</t>
  </si>
  <si>
    <t>Follow links in calculation for explanation. I divide by 2 because the AI model can only run on one chip at the same time. The dual chip setup if for redundancy only.</t>
  </si>
  <si>
    <t>Markup for cooling communication etc. for mufti-chip supercomputers</t>
  </si>
  <si>
    <t>Inflection AI (Pi, LLM)</t>
  </si>
  <si>
    <t>AI models</t>
  </si>
  <si>
    <t>Nvidia V100 SXM2</t>
  </si>
  <si>
    <t>https://en.wikipedia.org/wiki/Volta_%28microarchitecture%29</t>
  </si>
  <si>
    <t>https://images.nvidia.com/content/technologies/volta/pdf/volta-v100-datasheet-update-us-1165301-r5.pdf</t>
  </si>
  <si>
    <t>Global exa-flops</t>
  </si>
  <si>
    <t>exa-FLOPS</t>
  </si>
  <si>
    <t>HM's best guess for the next supercomputer OpenAI will use to train GPT-5. It is basically assuming the A100 chip will be replaced with the 12X more capable H100 chip.</t>
  </si>
  <si>
    <t xml:space="preserve">It is likely that Open AI finish making their supercomputer in 2024 </t>
  </si>
  <si>
    <t>Supercomputer is using 25k A100 chips that came to market in 2021</t>
  </si>
  <si>
    <t>https://www.tomshardware.com/news/amd-expands-mi300-with-gpu-only-model-eight-gpu-platform-with-15tb-of-hbm3</t>
  </si>
  <si>
    <t>system</t>
  </si>
  <si>
    <t>seconds in an hour</t>
  </si>
  <si>
    <t>USD/kWh</t>
  </si>
  <si>
    <t>MB</t>
  </si>
  <si>
    <t>500 pages of text at 2000 characters each is 1 MB</t>
  </si>
  <si>
    <t>1 page is about 2000 characters and 300 words</t>
  </si>
  <si>
    <t>words per page</t>
  </si>
  <si>
    <t>https://pc.net/helpcenter/answers/how_much_text_in_one_megabyte</t>
  </si>
  <si>
    <t>https://basmo.app/how-long-does-it-take-to-read-100-pages/</t>
  </si>
  <si>
    <t>page/min</t>
  </si>
  <si>
    <t>An average human reads 300 words or 1 page per minute</t>
  </si>
  <si>
    <t>One page is 2000 characters or 2000 bytes</t>
  </si>
  <si>
    <t>bytes per page</t>
  </si>
  <si>
    <t>seconds in a minute</t>
  </si>
  <si>
    <t>Bytes/second</t>
  </si>
  <si>
    <t>https://www.micron.com/products/nand-flash/232-layer-nand</t>
  </si>
  <si>
    <t>Should be no less than current max for HBM</t>
  </si>
  <si>
    <t>expected</t>
  </si>
  <si>
    <t>transistors</t>
  </si>
  <si>
    <t>Growth %</t>
  </si>
  <si>
    <t xml:space="preserve">in # of </t>
  </si>
  <si>
    <t xml:space="preserve">shrinking stops at 0.9 nm. </t>
  </si>
  <si>
    <t>I could have grown the TB in flash by the historic annual growth but I have chosen to grow it by relative transistor growth because I think that they are directly proportional as that would be logical and also the slight difference in historical growth of transistors and flash memory is likely due to slight off numbers of the used historical data.</t>
  </si>
  <si>
    <t>I could have grown the GB in RAM by the historic annual growth but I have chosen to grow it by relative transistor growth because I think that they are directly proportional as that would be logical and also the slight difference in historical growth of transistors and flash memory is likely due to slight off numbers of the used historical data.</t>
  </si>
  <si>
    <t>The end date of 2040 is chosen to be the same as for end of Moore's law for computational ICs as I could not find the needed data on die sizes for RAM ICs</t>
  </si>
  <si>
    <t>The "end" of Moore's law for RAM memory ICs</t>
  </si>
  <si>
    <t>The "end" of Moore's law for flash memory ICs</t>
  </si>
  <si>
    <t>Moore's law slows as nm</t>
  </si>
  <si>
    <t>Moore's law slows further</t>
  </si>
  <si>
    <t xml:space="preserve">Only option left is bigger </t>
  </si>
  <si>
    <t>as better transistor design</t>
  </si>
  <si>
    <t xml:space="preserve">become impossible at </t>
  </si>
  <si>
    <t>21^2 nm per transistor</t>
  </si>
  <si>
    <t>more power hungry ICs</t>
  </si>
  <si>
    <t>and a transition to optical</t>
  </si>
  <si>
    <t>Options left are bigger</t>
  </si>
  <si>
    <t>with more 3D layers</t>
  </si>
  <si>
    <t>becomes impossible.</t>
  </si>
  <si>
    <t xml:space="preserve">for one </t>
  </si>
  <si>
    <t>for RAM mem.</t>
  </si>
  <si>
    <t>for AI use</t>
  </si>
  <si>
    <t>RAM prod.</t>
  </si>
  <si>
    <t>Global TB</t>
  </si>
  <si>
    <t>Global TB RAM</t>
  </si>
  <si>
    <t>transistors for compute</t>
  </si>
  <si>
    <t># of AGI brains</t>
  </si>
  <si>
    <t>Singularity?</t>
  </si>
  <si>
    <t>Price of 1</t>
  </si>
  <si>
    <t>AI chipset</t>
  </si>
  <si>
    <t>Markup 2x</t>
  </si>
  <si>
    <t>Time to train</t>
  </si>
  <si>
    <t>GPT-4 model</t>
  </si>
  <si>
    <t>month</t>
  </si>
  <si>
    <t>days</t>
  </si>
  <si>
    <t>hours</t>
  </si>
  <si>
    <t>in days</t>
  </si>
  <si>
    <t xml:space="preserve">Cost of </t>
  </si>
  <si>
    <t>1kWh of</t>
  </si>
  <si>
    <t>Value global</t>
  </si>
  <si>
    <t>elec. prod.</t>
  </si>
  <si>
    <t>in billion USD</t>
  </si>
  <si>
    <t>AI training of FSD AI m. V12</t>
  </si>
  <si>
    <t>https://youtu.be/GvMe3FVTknU?si=myHlK8lWrqzIb3KC&amp;t=535</t>
  </si>
  <si>
    <t>https://youtu.be/GvMe3FVTknU?si=myHlK8lWrqzIb3KC&amp;t=536</t>
  </si>
  <si>
    <t>https://youtu.be/GvMe3FVTknU?si=myHlK8lWrqzIb3KC&amp;t=537</t>
  </si>
  <si>
    <t>https://twitter.com/Tesla_AI/status/1671589874686730270</t>
  </si>
  <si>
    <t>https://youtu.be/GvMe3FVTknU?si=23S1wZ4AEhTqN4bR&amp;t=150</t>
  </si>
  <si>
    <t>https://www.youtube.com/live/ODSJsviD_SU?si=M-0Z5JAt7y0Q4H5N&amp;t=7786</t>
  </si>
  <si>
    <t>https://twitter.com/tim_zaman/status/1695488119729238147</t>
  </si>
  <si>
    <t>Google A3, VM</t>
  </si>
  <si>
    <t>AI training and inference</t>
  </si>
  <si>
    <t>https://www.tomshardware.com/news/google-a3-supercomputer-h100-googleio</t>
  </si>
  <si>
    <t>Google TPU v5e</t>
  </si>
  <si>
    <t>https://www.hpcwire.com/2023/08/30/google-tpu-v5e-ai-chip-debuts-after-controversial-origins/</t>
  </si>
  <si>
    <t>https://cloud.google.com/tpu/docs/v5e-training</t>
  </si>
  <si>
    <t xml:space="preserve">Amazon Trainium </t>
  </si>
  <si>
    <t>https://aws.amazon.com/machine-learning/trainium/</t>
  </si>
  <si>
    <t>https://d1.awsstatic.com/events/Summits/reinvent2022/CMP313_Accelerate-deep-learning-and-innovate-faster-with-AWS-Trainium.pdf</t>
  </si>
  <si>
    <t>Google TPU v4</t>
  </si>
  <si>
    <t>https://youtu.be/YZzROmj5Ols?si=np6xBwjEw18EvhZ7&amp;t=402</t>
  </si>
  <si>
    <t>https://youtu.be/YZzROmj5Ols?si=np6xBwjEw18EvhZ7&amp;t=403</t>
  </si>
  <si>
    <t xml:space="preserve">AI training </t>
  </si>
  <si>
    <t>Google TPU v4i</t>
  </si>
  <si>
    <t>https://youtu.be/YZzROmj5Ols?si=BajlxtFnBcGDwmLY&amp;t=403</t>
  </si>
  <si>
    <t>https://cloud.google.com/tpu/docs/system-architecture-tpu-vm</t>
  </si>
  <si>
    <t>https://gwern.net/doc/ai/scaling/hardware/2021-jouppi.pdf</t>
  </si>
  <si>
    <t>At lest as much as FP16 performance</t>
  </si>
  <si>
    <t>https://youtu.be/YZzROmj5Ols?si=70XR4fNTExe-Cf1z&amp;t=223</t>
  </si>
  <si>
    <t>https://youtu.be/YZzROmj5Ols?si=0uC5v2nfW_uUFmEd&amp;t=239</t>
  </si>
  <si>
    <t>Meta MTIA v1</t>
  </si>
  <si>
    <t>https://youtu.be/YZzROmj5Ols?si=7_n0K6cA-Ezl17rd&amp;t=239</t>
  </si>
  <si>
    <t>https://youtu.be/YZzROmj5Ols?si=AG9ysgWslgkKVNfM&amp;t=239</t>
  </si>
  <si>
    <t>https://youtu.be/YZzROmj5Ols?si=AG9ysgWslgkKVNfM&amp;t=240</t>
  </si>
  <si>
    <t>https://www.nextplatform.com/2023/05/18/meta-platforms-crafts-homegrown-ai-inference-chip-ai-training-next/</t>
  </si>
  <si>
    <t>https://youtu.be/YZzROmj5Ols?si=0XtFAIohph3stdz9&amp;t=275</t>
  </si>
  <si>
    <t>https://www.tomsguide.com/news/microsoft-readies-own-ai-chip-everything-you-need-to-know</t>
  </si>
  <si>
    <t>https://www.servethehome.com/intel-habana-gaudi2-launched-ai-training-chip-supermicro-ddn-oam/intel-gaudi-to-gaudi2-specs/</t>
  </si>
  <si>
    <t>Intel Gaudi2 (Habana)</t>
  </si>
  <si>
    <t>https://habana.ai/products/gaudi2/</t>
  </si>
  <si>
    <t>https://www.tomshardware.com/news/intel-habana-gaudi2-outperforms-nvidia-a100</t>
  </si>
  <si>
    <t>https://www.tomshardware.com/news/intel-habana-gaudi2-outperforms-nvidia-a101</t>
  </si>
  <si>
    <t xml:space="preserve">25MB of text is </t>
  </si>
  <si>
    <t>pages of context at perplexity.ai</t>
  </si>
  <si>
    <t>https://awsdocs-neuron.readthedocs-hosted.com/en/latest/general/arch/neuron-hardware/trainium.html</t>
  </si>
  <si>
    <t>High performance compute.</t>
  </si>
  <si>
    <t>Stability.ai, Ezra-1</t>
  </si>
  <si>
    <t>https://stability.ai/blog/stable-diffusion-announcement</t>
  </si>
  <si>
    <t>https://stability.ai/about</t>
  </si>
  <si>
    <t>https://youtu.be/1WOjjgyZPj8?si=_G-vzWiiSfFmYcEz&amp;t=4488</t>
  </si>
  <si>
    <t xml:space="preserve">Lines of code </t>
  </si>
  <si>
    <t>to specify</t>
  </si>
  <si>
    <t>https://en.wikipedia.org/wiki/PaLM</t>
  </si>
  <si>
    <t>G. TPU v4</t>
  </si>
  <si>
    <t>https://youtu.be/1WOjjgyZPj8?si=YDkBhg6YQHGVx9Yh&amp;t=4427</t>
  </si>
  <si>
    <t>200-400</t>
  </si>
  <si>
    <t>4000?</t>
  </si>
  <si>
    <t>https://youtu.be/1WOjjgyZPj8?si=f4KA-OE7e2eDaO-h&amp;t=4455</t>
  </si>
  <si>
    <t>?</t>
  </si>
  <si>
    <t>1000-2000?</t>
  </si>
  <si>
    <t>https://youtu.be/FHhrN-GXrF8?si=SLSweYe6vRFKpDos&amp;t=112</t>
  </si>
  <si>
    <t>Assuming it cost 2/3 of the cost of A100</t>
  </si>
  <si>
    <t>NVIDIA Eos</t>
  </si>
  <si>
    <t>https://youtu.be/1WOjjgyZPj8?si=_G-vzWiiSfFmYcEz&amp;t=4490</t>
  </si>
  <si>
    <t>https://nvidianews.nvidia.com/news/nvidia-announces-dgx-h100-systems-worlds-most-advanced-enterprise-ai-infrastructure</t>
  </si>
  <si>
    <t>NVIDIA, Eos, H100</t>
  </si>
  <si>
    <t>Tesla, H100</t>
  </si>
  <si>
    <t>Apple A17 Pro</t>
  </si>
  <si>
    <t>https://en.wikipedia.org/wiki/Apple_A17</t>
  </si>
  <si>
    <t>https://en.wikipedia.org/wiki/Apple_A18</t>
  </si>
  <si>
    <t>https://en.wikipedia.org/wiki/Apple_A19</t>
  </si>
  <si>
    <t>https://en.wikipedia.org/wiki/Apple_A20</t>
  </si>
  <si>
    <t>https://9to5mac.com/2023/09/15/a17-pro-vs-a16-bionic-comparison/</t>
  </si>
  <si>
    <t>https://www.cpu-monkey.com/en/cpu-apple_a17_pro</t>
  </si>
  <si>
    <t>https://appleinsider.com/articles/23/04/26/tsmc-struggling-with-early-yields-of-a17-and-m3-processors</t>
  </si>
  <si>
    <t>https://sites.research.google/usm/</t>
  </si>
  <si>
    <t>over 300 languages</t>
  </si>
  <si>
    <t>no public data on this</t>
  </si>
  <si>
    <t>2.3B images</t>
  </si>
  <si>
    <t>100sM images</t>
  </si>
  <si>
    <t>https://huggingface.co/datasets/laion/laion2B-en</t>
  </si>
  <si>
    <t>https://www.omnicalculator.com/other/audio-file-size</t>
  </si>
  <si>
    <t>https://www.youtube.com/watch?v=e5xxejlecLs</t>
  </si>
  <si>
    <t>https://www.youtube.com/watch?v=INawFGUy-nU</t>
  </si>
  <si>
    <t>https://deepgram.com/learn/whisper-issues-smart-formatting</t>
  </si>
  <si>
    <t>https://www.infoq.com/news/2022/10/openai-whisper-speech/</t>
  </si>
  <si>
    <t>97 languages</t>
  </si>
  <si>
    <t>free in open ai  services like GTP-4</t>
  </si>
  <si>
    <t>50-400</t>
  </si>
  <si>
    <t>https://the-decoder.com/stable-diffusion-xl-an-image-model-at-midjourneys-level/</t>
  </si>
  <si>
    <t>https://stability.ai/stable-diffusion</t>
  </si>
  <si>
    <t>assuming two Nvidia A100 are used to run inference</t>
  </si>
  <si>
    <t>Dec, 2022</t>
  </si>
  <si>
    <t>July, 2023</t>
  </si>
  <si>
    <t>https://arxiv.org/pdf/2008.10080.pdf</t>
  </si>
  <si>
    <t>https://github.com/jonathan-laurent/AlphaZero.jl/blob/373852801dbf81f5fef0ed7feba69e82aecf0d6d/src/params.jl#LL277-L319</t>
  </si>
  <si>
    <t>https://en.wikipedia.org/wiki/AlphaZero</t>
  </si>
  <si>
    <t>Dec, 2017</t>
  </si>
  <si>
    <t>https://en.wikipedia.org/wiki/AlphaFold#</t>
  </si>
  <si>
    <t>170k proteins</t>
  </si>
  <si>
    <t>https://towardsdatascience.com/how-to-deploy-and-interpret-alphafold2-with-minimal-compute-9bf75942c6d7</t>
  </si>
  <si>
    <t>https://towardsdatascience.com/how-to-deploy-and-interpret-alphafold2-with-minimal-compute-9bf75942c6d8</t>
  </si>
  <si>
    <t>https://towardsdatascience.com/how-to-deploy-and-interpret-alphafold2-with-minimal-compute-9bf75942c6d9</t>
  </si>
  <si>
    <t>https://github.com/google-deepmind/alphafold#genetic-databases</t>
  </si>
  <si>
    <t>https://www.blopig.com/blog/2021/07/alphafold-2-is-here-whats-behind-the-structure-prediction-miracle/</t>
  </si>
  <si>
    <t>https://en.wikipedia.org/wiki/AlphaFold#Algorithm</t>
  </si>
  <si>
    <t>inference can be run on only 4 TPUv1 chips so likely only one TPU4i chip see https://en.wikipedia.org/wiki/AlphaGo_Zero</t>
  </si>
  <si>
    <t>Part of DNA</t>
  </si>
  <si>
    <t>https://the-decoder.com/gpt-3-5-might-be-a-strong-example-of-the-efficiency-potential-of-large-ai-models/</t>
  </si>
  <si>
    <t>https://www.cnbc.com/2023/11/05/elon-musk-debuts-grok-ai-bot-to-rival-chatgpt-others-.html</t>
  </si>
  <si>
    <t>$16 month</t>
  </si>
  <si>
    <t>Cerebras WSE-3</t>
  </si>
  <si>
    <t>https://youtu.be/f4Dly8I8lMY?si=6UxF2vbAmhkP1ZH_&amp;t=93</t>
  </si>
  <si>
    <t>https://youtu.be/f4Dly8I8lMY?si=6UxF2vbAmhkP1ZH_&amp;t=94</t>
  </si>
  <si>
    <t>https://youtu.be/f4Dly8I8lMY?si=6UxF2vbAmhkP1ZH_&amp;t=95</t>
  </si>
  <si>
    <t>https://youtu.be/f4Dly8I8lMY?si=6UxF2vbAmhkP1ZH_&amp;t=96</t>
  </si>
  <si>
    <t>https://youtu.be/f4Dly8I8lMY?si=YPQyELk9T8KbtpFv&amp;t=180</t>
  </si>
  <si>
    <t>https://youtu.be/f4Dly8I8lMY?si=NMNdYsGz0fNnw2SH&amp;t=203</t>
  </si>
  <si>
    <t>https://youtu.be/f4Dly8I8lMY?si=YtV9bMdjkZ0FfhYA&amp;t=224</t>
  </si>
  <si>
    <t>WSE-3</t>
  </si>
  <si>
    <t>https://youtu.be/f4Dly8I8lMY?si=azVbAp6Efob-ttvo&amp;t=253</t>
  </si>
  <si>
    <t>https://youtu.be/f4Dly8I8lMY?si=azVbAp6Efob-ttvo&amp;t=254</t>
  </si>
  <si>
    <t>https://youtu.be/f4Dly8I8lMY?si=azVbAp6Efob-ttvo&amp;t=255</t>
  </si>
  <si>
    <t>https://youtu.be/f4Dly8I8lMY?si=azVbAp6Efob-ttvo&amp;t=256</t>
  </si>
  <si>
    <t>https://youtu.be/f4Dly8I8lMY?si=qQwM5MdoVQ2yW6ra&amp;t=253</t>
  </si>
  <si>
    <t>Cerebras CG-3 Max</t>
  </si>
  <si>
    <t>https://youtu.be/f4Dly8I8lMY?si=8BGSFcjOJAA7gvck&amp;t=312</t>
  </si>
  <si>
    <t>https://youtu.be/f4Dly8I8lMY?si=8BGSFcjOJAA7gvck&amp;t=313</t>
  </si>
  <si>
    <t>https://youtu.be/f4Dly8I8lMY?si=8BGSFcjOJAA7gvck&amp;t=314</t>
  </si>
  <si>
    <t>https://youtu.be/f4Dly8I8lMY?si=8BGSFcjOJAA7gvck&amp;t=315</t>
  </si>
  <si>
    <t>https://youtu.be/f4Dly8I8lMY?si=8BGSFcjOJAA7gvck&amp;t=316</t>
  </si>
  <si>
    <t>https://youtu.be/f4Dly8I8lMY?si=8BGSFcjOJAA7gvck&amp;t=317</t>
  </si>
  <si>
    <t>https://youtu.be/f4Dly8I8lMY?si=8BGSFcjOJAA7gvck&amp;t=318</t>
  </si>
  <si>
    <t>https://youtu.be/f4Dly8I8lMY?si=8BGSFcjOJAA7gvck&amp;t=319</t>
  </si>
  <si>
    <t>https://youtu.be/f4Dly8I8lMY?si=_aUlUAhNMdYrefns&amp;t=226</t>
  </si>
  <si>
    <t>https://youtu.be/f4Dly8I8lMY?si=OVcMoq-krVAlqpfC&amp;t=325</t>
  </si>
  <si>
    <t>https://youtu.be/f4Dly8I8lMY?si=g-SYMUXUxv4HcAJb&amp;t=412</t>
  </si>
  <si>
    <t>FP4</t>
  </si>
  <si>
    <t>Inference</t>
  </si>
  <si>
    <t>https://www.youtube.com/live/Y2F8yisiS6E?si=ocno6gA4RGGgdL4y&amp;t=1632</t>
  </si>
  <si>
    <t>https://www.youtube.com/live/Y2F8yisiS6E?si=ocno6gA4RGGgdL4y&amp;t=1634</t>
  </si>
  <si>
    <t>https://www.youtube.com/live/Y2F8yisiS6E?si=ocno6gA4RGGgdL4y&amp;t=1635</t>
  </si>
  <si>
    <t>https://www.youtube.com/live/Y2F8yisiS6E?si=ocno6gA4RGGgdL4y&amp;t=1640</t>
  </si>
  <si>
    <t>https://www.youtube.com/live/Y2F8yisiS6E?si=xVVo7uADgXCg8scM&amp;t=1643</t>
  </si>
  <si>
    <t>https://www.youtube.com/live/Y2F8yisiS6E?si=xVVo7uADgXCg8scM&amp;t=1644</t>
  </si>
  <si>
    <t>https://www.youtube.com/live/Y2F8yisiS6E?si=xVVo7uADgXCg8scM&amp;t=1645</t>
  </si>
  <si>
    <t>https://www.youtube.com/live/Y2F8yisiS6E?si=xVVo7uADgXCg8scM&amp;t=1646</t>
  </si>
  <si>
    <t>https://www.youtube.com/live/Y2F8yisiS6E?si=xVVo7uADgXCg8scM&amp;t=1647</t>
  </si>
  <si>
    <t>https://www.youtube.com/live/Y2F8yisiS6E?si=9Z5Da4BQy12XJ1mw&amp;t=1624</t>
  </si>
  <si>
    <t>https://www.youtube.com/live/Y2F8yisiS6E?si=9Z5Da4BQy12XJ1mw&amp;t=1625</t>
  </si>
  <si>
    <t>https://www.youtube.com/live/Y2F8yisiS6E?si=9Z5Da4BQy12XJ1mw&amp;t=1626</t>
  </si>
  <si>
    <t>https://www.youtube.com/live/Y2F8yisiS6E?si=9Z5Da4BQy12XJ1mw&amp;t=1627</t>
  </si>
  <si>
    <t>https://www.youtube.com/live/Y2F8yisiS6E?si=9Z5Da4BQy12XJ1mw&amp;t=1628</t>
  </si>
  <si>
    <t>https://www.youtube.com/live/Y2F8yisiS6E?si=9Z5Da4BQy12XJ1mw&amp;t=1629</t>
  </si>
  <si>
    <t>https://www.youtube.com/live/Y2F8yisiS6E?si=9Z5Da4BQy12XJ1mw&amp;t=1630</t>
  </si>
  <si>
    <t>https://www.youtube.com/live/Y2F8yisiS6E?si=9Z5Da4BQy12XJ1mw&amp;t=1631</t>
  </si>
  <si>
    <t>https://www.youtube.com/live/Y2F8yisiS6E?si=9Z5Da4BQy12XJ1mw&amp;t=1634</t>
  </si>
  <si>
    <t>https://www.youtube.com/live/Y2F8yisiS6E?si=9Z5Da4BQy12XJ1mw&amp;t=1635</t>
  </si>
  <si>
    <t>https://www.youtube.com/live/Y2F8yisiS6E?si=9Z5Da4BQy12XJ1mw&amp;t=1636</t>
  </si>
  <si>
    <t>https://www.youtube.com/live/Y2F8yisiS6E?si=9Z5Da4BQy12XJ1mw&amp;t=1640</t>
  </si>
  <si>
    <t>https://www.youtube.com/live/Y2F8yisiS6E?si=b2DWgOYESdhnDMJ9&amp;t=1697</t>
  </si>
  <si>
    <t>https://www.youtube.com/live/Y2F8yisiS6E?si=b2DWgOYESdhnDMJ9&amp;t=1698</t>
  </si>
  <si>
    <t>https://www.youtube.com/live/Y2F8yisiS6E?si=b2DWgOYESdhnDMJ9&amp;t=1699</t>
  </si>
  <si>
    <t>https://www.youtube.com/live/Y2F8yisiS6E?si=b2DWgOYESdhnDMJ9&amp;t=1700</t>
  </si>
  <si>
    <t>https://www.youtube.com/live/Y2F8yisiS6E?si=b2DWgOYESdhnDMJ9&amp;t=1702</t>
  </si>
  <si>
    <t>https://www.youtube.com/live/Y2F8yisiS6E?si=b2DWgOYESdhnDMJ9&amp;t=1703</t>
  </si>
  <si>
    <t>https://www.youtube.com/live/Y2F8yisiS6E?si=b2DWgOYESdhnDMJ9&amp;t=1704</t>
  </si>
  <si>
    <t>https://www.youtube.com/live/Y2F8yisiS6E?si=b2DWgOYESdhnDMJ9&amp;t=1705</t>
  </si>
  <si>
    <t>https://www.youtube.com/live/Y2F8yisiS6E?si=b2DWgOYESdhnDMJ9&amp;t=1706</t>
  </si>
  <si>
    <t>https://www.youtube.com/live/Y2F8yisiS6E?si=b2DWgOYESdhnDMJ9&amp;t=1707</t>
  </si>
  <si>
    <t>https://www.youtube.com/live/Y2F8yisiS6E?si=b2DWgOYESdhnDMJ9&amp;t=1710</t>
  </si>
  <si>
    <t>https://www.youtube.com/live/Y2F8yisiS6E?si=vDsvaOjBP9A7pyv8&amp;t=1743</t>
  </si>
  <si>
    <t>https://www.youtube.com/live/Y2F8yisiS6E?si=vDsvaOjBP9A7pyv8&amp;t=1744</t>
  </si>
  <si>
    <t>https://www.youtube.com/live/Y2F8yisiS6E?si=vDsvaOjBP9A7pyv8&amp;t=1745</t>
  </si>
  <si>
    <t>https://www.youtube.com/live/Y2F8yisiS6E?si=vDsvaOjBP9A7pyv8&amp;t=1746</t>
  </si>
  <si>
    <t>https://www.youtube.com/live/Y2F8yisiS6E?si=vDsvaOjBP9A7pyv8&amp;t=1747</t>
  </si>
  <si>
    <t>https://www.youtube.com/live/Y2F8yisiS6E?si=vDsvaOjBP9A7pyv8&amp;t=1748</t>
  </si>
  <si>
    <t>https://www.youtube.com/live/Y2F8yisiS6E?si=vDsvaOjBP9A7pyv8&amp;t=1749</t>
  </si>
  <si>
    <t>https://www.youtube.com/live/Y2F8yisiS6E?si=vDsvaOjBP9A7pyv8&amp;t=1750</t>
  </si>
  <si>
    <t>https://www.youtube.com/live/Y2F8yisiS6E?si=vDsvaOjBP9A7pyv8&amp;t=1751</t>
  </si>
  <si>
    <t>https://www.youtube.com/live/Y2F8yisiS6E?si=vDsvaOjBP9A7pyv8&amp;t=1752</t>
  </si>
  <si>
    <t>https://www.youtube.com/live/Y2F8yisiS6E?si=vDsvaOjBP9A7pyv8&amp;t=1753</t>
  </si>
  <si>
    <t>https://www.youtube.com/live/Y2F8yisiS6E?si=vDsvaOjBP9A7pyv8&amp;t=1754</t>
  </si>
  <si>
    <t>https://www.youtube.com/live/Y2F8yisiS6E?si=vDsvaOjBP9A7pyv8&amp;t=1755</t>
  </si>
  <si>
    <t>https://www.youtube.com/live/Y2F8yisiS6E?si=vDsvaOjBP9A7pyv8&amp;t=1756</t>
  </si>
  <si>
    <t>https://www.youtube.com/live/Y2F8yisiS6E?si=4u45id5C7SlHU8Wd&amp;t=1833</t>
  </si>
  <si>
    <t>https://github.com/xai-org/grok-1</t>
  </si>
  <si>
    <t xml:space="preserve">Intel Gaudi 3 </t>
  </si>
  <si>
    <t>https://venturebeat.com/ai/intel-gaudi-3-chip-launches-challenging-nvidia-enterprise-ai/</t>
  </si>
  <si>
    <t>GPU AI training &amp; inf.</t>
  </si>
  <si>
    <t>Intel® Gaudi® 3 AI Accelerator White Paper</t>
  </si>
  <si>
    <t>https://www.intel.com/content/www/us/en/content-details/817486/intel-gaudi-3-ai-accelerator-white-paper.html</t>
  </si>
  <si>
    <t>Chips for AI training and inference at datacenters</t>
  </si>
  <si>
    <t>Mar, 2024</t>
  </si>
  <si>
    <t>https://www.anthropic.com/news/claude-3-family</t>
  </si>
  <si>
    <t>Nemotron-4 by NVIDIA</t>
  </si>
  <si>
    <t>https://venturebeat.com/ai/nvidias-nemotron-4-340b-model-redefines-synthetic-data-generation-rivals-gpt-4/</t>
  </si>
  <si>
    <t>https://x.com/reach_vb/status/1801648142963577103?ref_src=twsrc%5Etfw%7Ctwcamp%5Etweetembed%7Ctwterm%5E1801662289780822100%7Ctwgr%5Ee356aa4e988e30c7664c1990e8512ba9b1bb4980%7Ctwcon%5Es3_&amp;ref_url=https%3A%2F%2Fventurebeat.com%2Fai%2Fnvidias-nemotron-4-340b-model-redefines-synthetic-data-generation-rivals-gpt-4%2F</t>
  </si>
  <si>
    <t>https://www.cudocompute.com/blog/nvidias-blackwell-architecture-breaking-down-the-b100-b200-and-gb200</t>
  </si>
  <si>
    <t>FP32 CPU</t>
  </si>
  <si>
    <t>https://claude.ai/upgrade</t>
  </si>
  <si>
    <t>https://www.anthropic.com/claude</t>
  </si>
  <si>
    <t>https://en.wikipedia.org/wiki/Llama_(language_model)#Llama_3</t>
  </si>
  <si>
    <t>https://en.wikipedia.org/wiki/Llama_(language_model)#Llama_4</t>
  </si>
  <si>
    <t>https://en.wikipedia.org/wiki/Llama_(language_model)#Llama_5</t>
  </si>
  <si>
    <t>https://en.wikipedia.org/wiki/Llama_(language_model)#Llama_6</t>
  </si>
  <si>
    <t>https://en.wikipedia.org/wiki/Llama_(language_model)#Llama_7</t>
  </si>
  <si>
    <t>May, 2024</t>
  </si>
  <si>
    <t>https://openai.com/index/hello-gpt-4o/</t>
  </si>
  <si>
    <t>inference</t>
  </si>
  <si>
    <t>Feb., 2023</t>
  </si>
  <si>
    <t>https://www.youtube.com/live/remZ1KMR_Z4?si=no6Vv_tRuJ4mI8W6&amp;t=4850</t>
  </si>
  <si>
    <t>See https://www.youtube.com/live/remZ1KMR_Z4?si=_l6vN4tX80U_YEw3&amp;t=4792 and see https://www.youtube.com/watch?v=3tV1KPkuiBI&amp;t=2145s</t>
  </si>
  <si>
    <t xml:space="preserve">see https://www.youtube.com/live/remZ1KMR_Z4?si=_l6vN4tX80U_YEw3&amp;t=4792 </t>
  </si>
  <si>
    <t>https://en.wikipedia.org/wiki/GPT-4o</t>
  </si>
  <si>
    <t>https://www.youtube.com/live/remZ1KMR_Z4?si=0MEFUZiNG85Inuls&amp;t=4879</t>
  </si>
  <si>
    <t>Q1, 2025</t>
  </si>
  <si>
    <t>https://x.com/elonmusk/status/1798007748728365503</t>
  </si>
  <si>
    <t>my best guess</t>
  </si>
  <si>
    <t>https://www.youtube.com/live/remZ1KMR_Z4?si=lK9tl764E1Ic6RBy&amp;t=4759</t>
  </si>
  <si>
    <t>Nvidia Spectrum X800 ultra</t>
  </si>
  <si>
    <t xml:space="preserve">Nvidia Spectrum X1600 </t>
  </si>
  <si>
    <t>https://www.youtube.com/live/pKXDVsWZmUU?si=9tNViPhyZS8vUo7f&amp;t=4747</t>
  </si>
  <si>
    <t>My pick. X800 Ultra is an ethernet spec that will work with any GPU</t>
  </si>
  <si>
    <t>My pick. X1600 is an ethernet spec that will work with any GPU</t>
  </si>
  <si>
    <t>https://www.tomshardware.com/pc-components/gpus/nvidias-next-gen-blackwell-ai-gpus-to-cost-up-to-dollar70000-fully-equipped-servers-range-up-to-dollar3000000-report</t>
  </si>
  <si>
    <t>Training of Grok multi-modal</t>
  </si>
  <si>
    <t>https://www.tomshardware.com/tech-industry/artificial-intelligence/elon-musks-xai-plans-to-build-gigafactory-of-compute-by-fall-2025-using-100000-nvidias-h100-gpus</t>
  </si>
  <si>
    <t>Training of FSD AI model</t>
  </si>
  <si>
    <t>Training of FSD AI m. HW3</t>
  </si>
  <si>
    <t>D1, Dojo</t>
  </si>
  <si>
    <t>Tesla FSD HW3 training  c. Fremont</t>
  </si>
  <si>
    <t>Tesla FSD HW4 training c. Austin</t>
  </si>
  <si>
    <t>Tesla FSD HW3 training c. Dojo2</t>
  </si>
  <si>
    <t>A) Conversion rate between GB of VRAM and billion of parameters in possible &gt;&gt;AI LLM type model&lt;&lt; as represented by Meta's Llama</t>
  </si>
  <si>
    <t>https://resources.nvidia.com/en-us-blackwell-architecture</t>
  </si>
  <si>
    <t xml:space="preserve"># of </t>
  </si>
  <si>
    <t>NVIDIA, X800 ultra GB200</t>
  </si>
  <si>
    <t>May, 2023</t>
  </si>
  <si>
    <t>Mar., 2024</t>
  </si>
  <si>
    <t xml:space="preserve"> AI computation</t>
  </si>
  <si>
    <t>OpenAI, GPT-4, A100</t>
  </si>
  <si>
    <t>see https://www.youtube.com/live/remZ1KMR_Z4?si=_l6vN4tX80U_YEw3&amp;t=4793</t>
  </si>
  <si>
    <t>https://www.substratus.ai/blog/calculating-gpu-memory-for-llm/</t>
  </si>
  <si>
    <t>SoC / phones</t>
  </si>
  <si>
    <t>Nvidia GB200</t>
  </si>
  <si>
    <t>Tesla FSD HW3 training cluster 1</t>
  </si>
  <si>
    <t>Google, PaLM training cluster</t>
  </si>
  <si>
    <t>Alternative source likely factory prices 1TB of RAM is 1088 USD in 2022</t>
  </si>
  <si>
    <t>My speculation</t>
  </si>
  <si>
    <t>Alternative source likely factory prices 1TB of RAM is 1088 USD in 2023</t>
  </si>
  <si>
    <t xml:space="preserve">Claude 3 Opus by Anthropic </t>
  </si>
  <si>
    <t>https://youtu.be/8VXlseU6iYM?si=TWC337MHXjd5zyXE&amp;t=1293</t>
  </si>
  <si>
    <t>Feb., 2024</t>
  </si>
  <si>
    <t>https://en.wikipedia.org/wiki/Gemini_(language_model)#Updates</t>
  </si>
  <si>
    <t>https://gemini.google.com/app</t>
  </si>
  <si>
    <t>https://youtu.be/8VXlseU6iYM?si=9iJy-LvpBecrIAXA&amp;t=1293</t>
  </si>
  <si>
    <t>https://youtu.be/8VXlseU6iYM?si=uNznDrt-Cd3DoSrH&amp;t=1293</t>
  </si>
  <si>
    <t>Jan.,2024</t>
  </si>
  <si>
    <t>https://www.tomshardware.com/tech-industry/meta-will-have-350000-of-nvidias-fastest-ai-gpus-by-end-of-year-buying-amds-mi300-too</t>
  </si>
  <si>
    <t>Training &amp; inference Llama</t>
  </si>
  <si>
    <t>High bandwidth memory (HBM) is what is needed to store the parameters of an AI model. It is not the normal DDR5 RAM that is priced above.</t>
  </si>
  <si>
    <t>HBM RAM cost 5 times as much as ordinary DDR5 RAM</t>
  </si>
  <si>
    <t>Source:</t>
  </si>
  <si>
    <t>https://www.tomshardware.com/pc-components/gpus/explosive-hbm-demand-fueling-an-expected-20-increase-in-ddr5-memory-pricing-demand-for-ai-gpus-drives-production-cuts-for-standard-pc-memory</t>
  </si>
  <si>
    <t>GB200 with 32TB extra HBM RAM</t>
  </si>
  <si>
    <t>USD in 2023</t>
  </si>
  <si>
    <t>Cost plus profit margin for 1TB DDR5 RAM</t>
  </si>
  <si>
    <t>A human sized body will not have a big battery so 100W for brain and 50W for rest of body is it.</t>
  </si>
  <si>
    <t>See calculation for explanation. This is my expectation because Nvidia has said the Thor is based on Blackwell and it also got a CPU so based on the GB200 chip structure</t>
  </si>
  <si>
    <t>Jun., 2024</t>
  </si>
  <si>
    <t>Not announced but very doable with existing chips and HBM</t>
  </si>
  <si>
    <t>Not announced but very doable with existing GB200 chipset and HBM RAM</t>
  </si>
  <si>
    <t>Think of it as a synthetic human being</t>
  </si>
  <si>
    <t>LLM text to text</t>
  </si>
  <si>
    <t xml:space="preserve">However, we need 32TB of RAM to run an AGI AI model </t>
  </si>
  <si>
    <t xml:space="preserve">This source is no longer saying that 3Watt is needed per 8GB of DDR4. They changed the text to something different. </t>
  </si>
  <si>
    <t>Watt per 1GB of HBM3 RAM</t>
  </si>
  <si>
    <t>Human brain</t>
  </si>
  <si>
    <t>Bits/second</t>
  </si>
  <si>
    <t>Calculating the human brain memory bandwidth for speech in bits/seconds</t>
  </si>
  <si>
    <t>using best FP</t>
  </si>
  <si>
    <t>best FP</t>
  </si>
  <si>
    <t>Dec., 2019</t>
  </si>
  <si>
    <t>Orin</t>
  </si>
  <si>
    <t>Musk said HW4 uses about 200 watt. I presume that is for full system and only 100 watt is used for HW4 chip see https://www.youtube.com/live/remZ1KMR_Z4?si=0MEFUZiNG85Inuls&amp;t=4879      and  https://www.youtube.com/watch?v=3ZoP1GCNwYE&amp;t=590s</t>
  </si>
  <si>
    <t>HW4-FSD</t>
  </si>
  <si>
    <t>I assume it is the same as bandwidth for Nvidia Orin</t>
  </si>
  <si>
    <t>https://youtu.be/FHhrN-GXrF8?si=SLSweYe6vRFKpDos&amp;t=111</t>
  </si>
  <si>
    <t>&lt;2000?</t>
  </si>
  <si>
    <t># of AGI brains if</t>
  </si>
  <si>
    <t>1 brain is TFLOPS</t>
  </si>
  <si>
    <t>in flops</t>
  </si>
  <si>
    <t>Sources:</t>
  </si>
  <si>
    <t xml:space="preserve">Sources: </t>
  </si>
  <si>
    <t>Set by me see note</t>
  </si>
  <si>
    <t>see note</t>
  </si>
  <si>
    <t>Fujitsu</t>
  </si>
  <si>
    <t>https://www.tomshardware.com/news/nvidia-to-reportedly-triple-output-of-compute-gpus-in-2024-up-to-2-million-h100s</t>
  </si>
  <si>
    <t>calc.</t>
  </si>
  <si>
    <t>Will be increasingly difficult to maintain a high growth rate in production as new chipfactories will have to be build and that takes time even if the money is there for investment</t>
  </si>
  <si>
    <t>Eventually the price will start to fall for AI chips as production rams up</t>
  </si>
  <si>
    <t xml:space="preserve">TFLOPS </t>
  </si>
  <si>
    <t xml:space="preserve">for one AI </t>
  </si>
  <si>
    <t>chipset</t>
  </si>
  <si>
    <t>H100 follow link</t>
  </si>
  <si>
    <t>GB200 follow link</t>
  </si>
  <si>
    <t>growth is zero because I change chip from H100 to GB200 that has 2 GPUs on the chipset so in reality 100% growth in 2025</t>
  </si>
  <si>
    <t>globally</t>
  </si>
  <si>
    <t>if one is GB RAM</t>
  </si>
  <si>
    <t>if one is TFLOPS</t>
  </si>
  <si>
    <t>assuming chipsets are replaced every 6 years</t>
  </si>
  <si>
    <t>follow link as demand for compute increases so will global electrisity consumption and more of the economy will be automated with compute and android robots that at first will be remote controlled from datacenters.</t>
  </si>
  <si>
    <t>15% is my guess what is possible for long-term economic growth in our solar system as long as there is materials to mine for industial use</t>
  </si>
  <si>
    <t>follow link. Solar and wind power is already cheapest electricity and it will continue to drop in price and be preferred for expansion of electricity production</t>
  </si>
  <si>
    <t>Watt use</t>
  </si>
  <si>
    <t>one AI</t>
  </si>
  <si>
    <t>USD for</t>
  </si>
  <si>
    <t>assuming GDP growth will increase after the first AGI start to run the corporations</t>
  </si>
  <si>
    <t>further increase in economic growth as a significant number of AGI controlled androids start to work</t>
  </si>
  <si>
    <t>even more AGI controlled androids increase production</t>
  </si>
  <si>
    <t>and more AGI controlled robots enter production</t>
  </si>
  <si>
    <t xml:space="preserve">Global power </t>
  </si>
  <si>
    <t>for AI compute</t>
  </si>
  <si>
    <t>in million watt</t>
  </si>
  <si>
    <t>for AI in TWh</t>
  </si>
  <si>
    <t>Global use</t>
  </si>
  <si>
    <t>FP8</t>
  </si>
  <si>
    <t>6 years rolling</t>
  </si>
  <si>
    <t>assuming AI chips last 6 years on average before decommissioning</t>
  </si>
  <si>
    <t>xAI Grok training, 300k B200</t>
  </si>
  <si>
    <t>June, 2024</t>
  </si>
  <si>
    <t>https://x.com/elonmusk/status/1797382701541990841</t>
  </si>
  <si>
    <t>Q4, 2024</t>
  </si>
  <si>
    <t>Q3, 2025?</t>
  </si>
  <si>
    <t>https://www.tomshardware.com/pc-components/gpus/nvidias-next-gen-ai-gpu-revealed-blackwell-b200-gpu-delivers-up-to-20-petaflops-of-compute-and-massive-improvements-over-hopper-h100</t>
  </si>
  <si>
    <t>Nvidia B200</t>
  </si>
  <si>
    <t>assumed in between previous numbers</t>
  </si>
  <si>
    <t>xAI is leasing H100 chips from Oracle cloud services see https://the-decoder.com/elon-musk-delays-grok-2-ai-model-to-august-promises-grok-3-by-end-of-year/</t>
  </si>
  <si>
    <t>not supported chip only do FP16</t>
  </si>
  <si>
    <t>not supported chip only do FP17</t>
  </si>
  <si>
    <t>AI supercomputers including forthcoming and comparison with human brain and some inference computers</t>
  </si>
  <si>
    <t>in one SC</t>
  </si>
  <si>
    <t xml:space="preserve">Number of </t>
  </si>
  <si>
    <t>AI chipsets</t>
  </si>
  <si>
    <t>Price of</t>
  </si>
  <si>
    <t>of 1 SC</t>
  </si>
  <si>
    <t>in price</t>
  </si>
  <si>
    <t>watt used</t>
  </si>
  <si>
    <t xml:space="preserve">Million </t>
  </si>
  <si>
    <t>Supercomputer (SC)</t>
  </si>
  <si>
    <t>one SC in</t>
  </si>
  <si>
    <t>growth is 0.83%</t>
  </si>
  <si>
    <t xml:space="preserve">New global </t>
  </si>
  <si>
    <t>Growth 2023 to 2029</t>
  </si>
  <si>
    <t>Growth 2029 to 2045</t>
  </si>
  <si>
    <t>chipsets sold</t>
  </si>
  <si>
    <t>for one</t>
  </si>
  <si>
    <t>per year</t>
  </si>
  <si>
    <t>available for AI</t>
  </si>
  <si>
    <t>growth in</t>
  </si>
  <si>
    <t>Growth 1993 to 2023</t>
  </si>
  <si>
    <t>Ann 4.66%</t>
  </si>
  <si>
    <t>GDP growth</t>
  </si>
  <si>
    <t># of new AI</t>
  </si>
  <si>
    <t>Growth 1989 to 2023</t>
  </si>
  <si>
    <t>Power for</t>
  </si>
  <si>
    <t>new compute</t>
  </si>
  <si>
    <t>Assumed</t>
  </si>
  <si>
    <t>for one AI</t>
  </si>
  <si>
    <t>Growth 2023 to 2045</t>
  </si>
  <si>
    <t>growth is zero because I change chip from H100 to GB200 that has 2 GPUs on the chipset instead of 1 so in reality 100% growth in 2025</t>
  </si>
  <si>
    <t>TB RAM</t>
  </si>
  <si>
    <t># of humans on</t>
  </si>
  <si>
    <t>Earth. Annual</t>
  </si>
  <si>
    <t>Global AI chip sales and their global electricity comsumption and impact on global GDP growth</t>
  </si>
  <si>
    <t>sales</t>
  </si>
  <si>
    <t xml:space="preserve">Options left are larger dies </t>
  </si>
  <si>
    <t>better designs and materials</t>
  </si>
  <si>
    <t>19^2 nm per transistor</t>
  </si>
  <si>
    <t>per chipset</t>
  </si>
  <si>
    <t>Best TFLOPS</t>
  </si>
  <si>
    <t>Moore's law</t>
  </si>
  <si>
    <t>per chipset &amp;</t>
  </si>
  <si>
    <t>for compute</t>
  </si>
  <si>
    <t>Growth 1991 to 2018</t>
  </si>
  <si>
    <t>Growth 1994 to 2023</t>
  </si>
  <si>
    <t xml:space="preserve">Conclusion for every 1 billion parameters in image diffusion model </t>
  </si>
  <si>
    <t>billion neurons for Mouse brain</t>
  </si>
  <si>
    <t>https://www.frontiersin.org/journals/neuroinformatics/articles/10.3389/fninf.2018.00084/full</t>
  </si>
  <si>
    <t>calculated follow links</t>
  </si>
  <si>
    <t>Follow link for explanation, also see sources below table.</t>
  </si>
  <si>
    <t>https://worldostats.com/mice-population-by-country-2024/</t>
  </si>
  <si>
    <t>https://biomedgrid.com/pdf/AJBSR.MS.ID.000946.pdf</t>
  </si>
  <si>
    <t>5 billion alive</t>
  </si>
  <si>
    <t>minutes in an hour</t>
  </si>
  <si>
    <t>years</t>
  </si>
  <si>
    <t>Number of words in that book</t>
  </si>
  <si>
    <t>GB in an hour 480p, 0.2fps video human brain memory, H264 (Canon 5D MkII)</t>
  </si>
  <si>
    <t>GB in an hour 4k/60fps video 4K60, Wide FOV, H.265 GoPro</t>
  </si>
  <si>
    <t>bits in a byte</t>
  </si>
  <si>
    <t>https://www.macxdvd.com/gopro-video-processing/gopro-video-size-calculator.htm</t>
  </si>
  <si>
    <t>Number of pages in book that will take 16 years of reading non-stop</t>
  </si>
  <si>
    <t xml:space="preserve">Number of 300 pages books </t>
  </si>
  <si>
    <t>GB in an hour 1080p/1fps video H264 (Canon 7D)</t>
  </si>
  <si>
    <t># of seconds in 16 years or images in a 1fps video</t>
  </si>
  <si>
    <t># of images in 16 years of 60fps video</t>
  </si>
  <si>
    <t>GB in 1 hour of CD quality audio 16 bit, 48kHz, mono</t>
  </si>
  <si>
    <t>Text file size reading 1 page per min. for 16 years non-stop (28,000 books at 300 pages each)</t>
  </si>
  <si>
    <t>https://en.wikipedia.org/wiki/List_of_animals_by_number_of_neurons#Forebrain_(cerebrum_or_pallium)_only</t>
  </si>
  <si>
    <t>billion neurons for dog (German Shepherd)</t>
  </si>
  <si>
    <t>https://northernlightswildlife.com/learn-about-wolves/</t>
  </si>
  <si>
    <t>0.9 billion</t>
  </si>
  <si>
    <t>https://worldanimalfoundation.org/dogs/how-many-dogs-are-in-the-world/#:~:text=Dogs%20Population%20Statistics%201%20There%20Are%20900%20Million,Worldwide%20Is%20Almost%2070%25%20%28Nature%29%20...%20More%20items</t>
  </si>
  <si>
    <t>Dogs train their neural networks constantly through life although the ability to do it effectively decreases with age.</t>
  </si>
  <si>
    <t>Dogs do not live as long as humans</t>
  </si>
  <si>
    <t>Dog/wolf brain</t>
  </si>
  <si>
    <t>Vision input to driver control</t>
  </si>
  <si>
    <t>8000 USD</t>
  </si>
  <si>
    <t>Cost of FSD service https://www.tesla.com/model3/design#overview</t>
  </si>
  <si>
    <t>Llama 3.1, 405B by Meta</t>
  </si>
  <si>
    <t>July, 2024</t>
  </si>
  <si>
    <t>https://ai.meta.com/blog/meta-llama-3-1/</t>
  </si>
  <si>
    <t>Llama 3.1, 8B by Meta</t>
  </si>
  <si>
    <t>HM estimate that one NVIDIA GB200 chipset with an extra 30TB of HBM (high bandwidth memory) is sufficient to run a system of AI models that combined will constitute AGI or artificial general intelligence. AGI is here defined as an AI system that can perform all the types of thinking that a human brain can do and thus be able to substitute humans in all jobs that are non-physical. In other words, if we knew how to code such an AGI system and we do not as of 2024 that code could run a full AGI system on the specified hardware that could easily be made by NVIDIA in volume in 2025.</t>
  </si>
  <si>
    <t>HM expect that by 2045 (the year Ray Kurzweil expect the technological singularity will happen) robotics and computer science will have developed to a point where it is possible to make a humanoid robot that has AGI level intelligence build in (not remote controlled from a large computer in a datacenter) and that can physically perform at least as well as a human being. In other words, this will be the first non-biological humanoid species that could live independent of human effort and society and be able to build their own civilizations for instance on Mars or other planet and moons in our solar system and beyond.</t>
  </si>
  <si>
    <t>Raymond Kurzweil 2009 slide 20 estimate 10^19 FLOPS are needed to simulate a complete human brain in a supercomputer for brain uploading. Ray K. also has a lower estimate of 2*10^16 or 20,000 TFLOPS that uses 100 billion neurons*1000 synapses *200 firings per second and call that estimate the needed compute for functional brain simulation</t>
  </si>
  <si>
    <t>Best source is Geoffrey Hinton one of the founders of AI and a scientist. He said we used to equate synapses of human brain with model parameters but he argue that AI parameters are obviously much better at storing and understanding data than human parameters because GPT4 knows 1000s of time more general knowledge than human despite only having 1 to 2 trillion parameters versus 100 trillion synapses for human brain</t>
  </si>
  <si>
    <t>13000 Tflops is enough for the compute and by 2029 the H100 3rd gen can easily do that</t>
  </si>
  <si>
    <t>hours of maintenance and charging</t>
  </si>
  <si>
    <t>Bytes is used for measuring hard drive space and bit is most often used for measuring communication speed</t>
  </si>
  <si>
    <t>Stable Diffusion XL by Stability AI</t>
  </si>
  <si>
    <t>Audio file size listening 16 years non-stop at 16-bit, 48kHz, non-compressed</t>
  </si>
  <si>
    <t>Microsoft published a paper about this model that has since been retracted likely because they want to keep it a secret that new GTP 3.5 is only using 20B parameters.</t>
  </si>
  <si>
    <t>This is the same kind of model as Stable diffusion model so it needs 1 A100 for inference for that size of parameter count and resulting memory demand</t>
  </si>
  <si>
    <t>free in google services like YouTube and Assistant and Chrome browser</t>
  </si>
  <si>
    <t>The AGI androids will be able to train themself by being observant and by downloading premade AI sub models for specific skill acquisition. The world in 2045 will be very affluent. Economy could be created by trillions of robots of all sorts controlled by AGI androids also of all sorts containing larger or smaller ai model systems with more or less compute power.</t>
  </si>
  <si>
    <t>13000 Tflops is enough for the compute and Nvidia GB200 can easily do that at 40000 Tflops</t>
  </si>
  <si>
    <t>When I ask Claude 3.5 sonnet about watt use for 1 GB of HBM3 it say about 0.5 watt but it is unable to provide a source</t>
  </si>
  <si>
    <t>Important: Vision AI models are so far much smaller than LLM AI models. The former typically has 4B parameters at most but LLMs has 100B parameters. This is why I use a different conversion between parameter count and unified memory for dependent on the kind of job the chip is intended to perform with respect to AI models</t>
  </si>
  <si>
    <t>GPU AI inference</t>
  </si>
  <si>
    <t>Microsoft Project Athena</t>
  </si>
  <si>
    <t>Human brain is 237 X more energy efficient</t>
  </si>
  <si>
    <t>Doable 2025</t>
  </si>
  <si>
    <t>calculated assuming visual AI model</t>
  </si>
  <si>
    <t xml:space="preserve">Cerebras only has support for FP16 calculations. But Nvidia is able to double the TFLOPS every time the FP bit scale is cut in half so Cerebras could do the same for future wafer chips. </t>
  </si>
  <si>
    <t>Nvidia has said Thor is based on Blackwell and Blackwell can do FP4 that will have 2X the compute of FP8 see press release https://nvidianews.nvidia.com/news/nvidia-unveils-drive-thor-centralized-car-computer-unifying-cluster-infotainment-automated-driving-and-parking-in-a-single-cost-saving-system</t>
  </si>
  <si>
    <t>Billion PA./GB</t>
  </si>
  <si>
    <t>Flash memory is not the same as RAM memory and it uses less transistors than RAM for 1 GB see sheet "Calc Moore's law"</t>
  </si>
  <si>
    <t>FSD HW4 training Giga Texas</t>
  </si>
  <si>
    <t>Cerebras CG-1</t>
  </si>
  <si>
    <t>Cerebras Condor Galaxy 3</t>
  </si>
  <si>
    <t>doable 2024</t>
  </si>
  <si>
    <t>doable 2025</t>
  </si>
  <si>
    <t>doable 2026</t>
  </si>
  <si>
    <t>OpenAI are know to use Nvidia A100 chips for training and inference. That chip came out in 2020 so OpenAI must have used it for inference since 2021</t>
  </si>
  <si>
    <t>The point of only considering the forebrain is that it is responsible for thought. The rest of the brain is about processing the sensory input from the body. However, if body is not needed because we just need a large hyperintelligent thinking machine then we can ignore energy use from body and part of the brain controlling body.</t>
  </si>
  <si>
    <t>Many kinds of chips will be needed for memory and different kinds of compute</t>
  </si>
  <si>
    <t>follow link H100. Note that in spreadsheet for supercomputers I have delayed the time by 1 year that H100 is used because production of H100 comes before the deployment of the H100 supercomputers. This is why GB RAM for one chipset do not match year by year in table for production of AI chips and table for deployment of supercomputers</t>
  </si>
  <si>
    <t>follow link GB200. Note that in spreadsheet for supercomputers I have delayed the time by 1 year that GB200 is used because production of GB200 comes before the deployment of the GB200 supercomputers. This is why GB RAM for one chipset do not match year by year in table for production of AI chips and table for deployment of supercomputers</t>
  </si>
  <si>
    <t>Note Nvidia fiscal year 2023 is the same as 2023 calendar year</t>
  </si>
  <si>
    <t>Will be increasingly difficult to maintain a high growth rate in production as new chip factories will have to be build and that takes time even if the money is there for investment</t>
  </si>
  <si>
    <t>End of Moore's law for electric ICs means the number of transistors will slow but still some design improvement and material changes may be possible so I estimate 15% growth is still possible for a while</t>
  </si>
  <si>
    <t>Moore's law is definitively dead for electronic ICs as production tech and material choice and designs are as good as it gets within the laws of physics</t>
  </si>
  <si>
    <t>Moore's law ends for</t>
  </si>
  <si>
    <t>Calculating Moore's law for nm process nodes</t>
  </si>
  <si>
    <t>Moore's law ends for electric computational ICs</t>
  </si>
  <si>
    <t>Moore's law ends for electric RAM ICs</t>
  </si>
  <si>
    <t>Moore's law ends for electric flash ICs</t>
  </si>
  <si>
    <t>GPT-4 inference cluster, 128*A100</t>
  </si>
  <si>
    <t>Calculating the human brain memory bandwidth for speech in bytes/seconds (bye = one character)</t>
  </si>
  <si>
    <t>Ideogram 1.0</t>
  </si>
  <si>
    <t>Feb, 2024</t>
  </si>
  <si>
    <t>https://about.ideogram.ai/1.0</t>
  </si>
  <si>
    <t>Free &amp; 7-$48</t>
  </si>
  <si>
    <t>https://ideogram.ai/t/explore</t>
  </si>
  <si>
    <t>https://ideogram.ai/pricing</t>
  </si>
  <si>
    <t>https://www.fahimai.com/ideogram-ai (source say it is based on stability XL, likely a finetuned version of it)</t>
  </si>
  <si>
    <t>assuming 2 Nvidia A100 is used to run inference. Should be enough given GB use</t>
  </si>
  <si>
    <t>follow link assuming  Nvidia A100 are used to run inference</t>
  </si>
  <si>
    <t>follow link assuming  Nvidia H100 are used to run inference</t>
  </si>
  <si>
    <t>assuming 1 Nvidia H100 is used to run inference. Should be enough given GB use</t>
  </si>
  <si>
    <t>https://huggingface.co/datasets/laion/laion2B-en (this page no longer exist because model is old and copyright issues may have forced a takedown)</t>
  </si>
  <si>
    <t>chips for</t>
  </si>
  <si>
    <t>Min. # of</t>
  </si>
  <si>
    <t xml:space="preserve">Status </t>
  </si>
  <si>
    <t>Public</t>
  </si>
  <si>
    <t>MS Edge</t>
  </si>
  <si>
    <t>Private</t>
  </si>
  <si>
    <t>Open-source</t>
  </si>
  <si>
    <t xml:space="preserve">Vehicles robots </t>
  </si>
  <si>
    <t>1 brain</t>
  </si>
  <si>
    <t xml:space="preserve">Claude 1 by Anthropic </t>
  </si>
  <si>
    <t>Power use</t>
  </si>
  <si>
    <t>in watt for</t>
  </si>
  <si>
    <t>Ask or pplx-70b by Perplexity AI</t>
  </si>
  <si>
    <t>https://thenewstack.io/how-perplexitys-online-llm-was-inspired-by-freshllms-paper/?utm_referrer=https%3A%2F%2Fwww.perplexity.ai%2F</t>
  </si>
  <si>
    <t>Income USD</t>
  </si>
  <si>
    <t>Office, Edge</t>
  </si>
  <si>
    <t>computer</t>
  </si>
  <si>
    <t>https://www.seeedstudio.com/blog/2022/04/24/nvidia-orin-bring-your-next-gen-ai-products-with-jetson-agx-orin-and-nx-orin/</t>
  </si>
  <si>
    <t>Type of</t>
  </si>
  <si>
    <t>H100</t>
  </si>
  <si>
    <t>GB200</t>
  </si>
  <si>
    <t xml:space="preserve"> +H100</t>
  </si>
  <si>
    <t xml:space="preserve">For simplicity we assume Nvidia is the entire Global market for AI chipset. That is not true as there are other producers but their market share is minimal currently see source for nvidia https://the-decoder.com/nvidias-h100-gpu-sells-like-hot-cakes-with-high-profit-margins/ </t>
  </si>
  <si>
    <t>calculated from know Nvidia income and known Nvidia sales of H100. The resulting 56k USD is higher than the 33k USD that the H100 chip cost but Nvidia also sell other AI chips and network gear that is included in Nvidea revenue from AI chip sales</t>
  </si>
  <si>
    <t>https://www.theregister.com/2024/02/14/german_gh200_workstation/</t>
  </si>
  <si>
    <t>This is doable already in 2026 see spreadsheet AI_Supercomputers</t>
  </si>
  <si>
    <t>B.USD/GW</t>
  </si>
  <si>
    <t>https://en.wikipedia.org/wiki/Cost_of_electricity_by_source</t>
  </si>
  <si>
    <t xml:space="preserve"> used</t>
  </si>
  <si>
    <t xml:space="preserve"> in one SC</t>
  </si>
  <si>
    <t>Reality 2024</t>
  </si>
  <si>
    <t>sec</t>
  </si>
  <si>
    <t>min.</t>
  </si>
  <si>
    <t>https://www.amazon.com/KingSpec-Gen4x4-Speed-Internal-PCIe4-0/dp/B0C58GTGPM?th=1</t>
  </si>
  <si>
    <t>&lt;150</t>
  </si>
  <si>
    <t xml:space="preserve">boot time </t>
  </si>
  <si>
    <t>minutes</t>
  </si>
  <si>
    <t>An android AGI will need about 15 * 4TB SSD drives or 60TB</t>
  </si>
  <si>
    <t>15 SSD drives at 7.4 GB/s is 111GB/s read speed https://www.amazon.com/KingSpec-Gen4x4-Speed-Internal-PCIe4-0/dp/B0C58GTGPM?th=1</t>
  </si>
  <si>
    <t>A high end SSD drive uses about 10Watt so 15 will use about 150watt see https://pcsite.co.uk/how-much-power-does-an-ssd-use/</t>
  </si>
  <si>
    <t>get it on Amazon</t>
  </si>
  <si>
    <t>https://en.wikipedia.org/wiki/GPT-1</t>
  </si>
  <si>
    <t>https://youtu.be/1WOjjgyZPj8?si=f4KA-OE7e2eDaO-h&amp;t=4440</t>
  </si>
  <si>
    <t>https://en.wikipedia.org/wiki/GPT-2</t>
  </si>
  <si>
    <t>Retired</t>
  </si>
  <si>
    <t>https://en.wikipedia.org/wiki/GPT-2#Performance_and_evaluation</t>
  </si>
  <si>
    <t>Jun, 2018</t>
  </si>
  <si>
    <t>https://towardsdatascience.com/large-language-models-gpt-1-generative-pre-trained-transformer-7b895f296d3b</t>
  </si>
  <si>
    <t>Ask Chat GPT</t>
  </si>
  <si>
    <t>Links to all sources are available in sources table below</t>
  </si>
  <si>
    <t>Key politicians or dictators on AI</t>
  </si>
  <si>
    <t>Definition of AGI</t>
  </si>
  <si>
    <t>Definition of ASI</t>
  </si>
  <si>
    <t>Henrik Mathiesen</t>
  </si>
  <si>
    <t>Main</t>
  </si>
  <si>
    <t>Stance on</t>
  </si>
  <si>
    <t>benefits</t>
  </si>
  <si>
    <t>https://en.wikipedia.org/wiki/Ray_Kurzweil</t>
  </si>
  <si>
    <t>Who they</t>
  </si>
  <si>
    <t xml:space="preserve">are by </t>
  </si>
  <si>
    <t>main source</t>
  </si>
  <si>
    <t>Sep, 2024</t>
  </si>
  <si>
    <t>https://en.wikipedia.org/wiki/O1_(generative_pre-trained_transformer)</t>
  </si>
  <si>
    <t>cluster memory</t>
  </si>
  <si>
    <t>$200 month</t>
  </si>
  <si>
    <r>
      <t>GPT-2 by OpenAI,</t>
    </r>
    <r>
      <rPr>
        <sz val="11"/>
        <color theme="1"/>
        <rFont val="Calibri"/>
        <family val="2"/>
        <scheme val="minor"/>
      </rPr>
      <t xml:space="preserve"> 13x bigger GPT-1</t>
    </r>
  </si>
  <si>
    <r>
      <rPr>
        <b/>
        <sz val="11"/>
        <color theme="1"/>
        <rFont val="Calibri"/>
        <family val="2"/>
        <scheme val="minor"/>
      </rPr>
      <t>GPT-3 by OpenAI</t>
    </r>
    <r>
      <rPr>
        <sz val="11"/>
        <color theme="1"/>
        <rFont val="Calibri"/>
        <family val="2"/>
        <scheme val="minor"/>
      </rPr>
      <t>, 116x bigger GPT-2</t>
    </r>
  </si>
  <si>
    <r>
      <t>GPT-4 by OpenAI,</t>
    </r>
    <r>
      <rPr>
        <sz val="11"/>
        <color theme="1"/>
        <rFont val="Calibri"/>
        <family val="2"/>
        <scheme val="minor"/>
      </rPr>
      <t xml:space="preserve"> 10X bigger GPT-3</t>
    </r>
  </si>
  <si>
    <t>https://www.creatosaurus.io/blog/openai-o1-preview-model</t>
  </si>
  <si>
    <t>Student model is 11% of teacher model</t>
  </si>
  <si>
    <t>Teacher model</t>
  </si>
  <si>
    <t>I crudely assume that data input from 2 human eyes is 2X that of 4k, 60fps video and then add 1X more for sensory nerves input pain receptors on skin and inside body and add 1X more from metabolic sensory input so total input is 4X that of 4k, 60fps video</t>
  </si>
  <si>
    <t>Price of HBM RAM per 1TB=1000GB</t>
  </si>
  <si>
    <t># of images in 16 years of 0.1fps video</t>
  </si>
  <si>
    <t>Limiting factor for making an AGI android/artificial autonomous human is power and size of needed RAM not the CPU/GPU</t>
  </si>
  <si>
    <t>Motion, sensing, thought, etc.</t>
  </si>
  <si>
    <t>billion neurons in human forebrain (cerebral cortex)</t>
  </si>
  <si>
    <t>billion neurons for African elephant</t>
  </si>
  <si>
    <t xml:space="preserve">billion neurons for African elephant only forebrain </t>
  </si>
  <si>
    <t>Important: All estimates of parameters in animals is based on the assumption that they are proportional with number of neuron count in animals. For that to be true we also need the average number of synapsis in a human brain to be the same in an animal. This will not be the case only very crudely but I have not been able to find data on animal synapsis count to make more accurate calculation.</t>
  </si>
  <si>
    <t>https://en.wikipedia.org/wiki/African_elephant</t>
  </si>
  <si>
    <t>https://www.youtube.com/watch?v=Y6Sgp7y178k&amp;t=177s</t>
  </si>
  <si>
    <t>calculated follow links see also https://www.youtube.com/watch?v=Y6Sgp7y178k&amp;t=177s</t>
  </si>
  <si>
    <t>Common knowledge ask chat GPT</t>
  </si>
  <si>
    <t>https://www.worldwildlife.org/magazine/issues/winter-2018/articles/the-status-of-african-elephants#:~:text=In%202016%2C%20experts%20estimated%20that%20Africa%E2%80%99s%20elephant%20population,Today%2C%20there%20are%20just%20415%2C000%20elephants%20across%20Africa.</t>
  </si>
  <si>
    <t>&lt;415,000 alive</t>
  </si>
  <si>
    <t>SSD for minimum AGI, 6.1 min. boot time</t>
  </si>
  <si>
    <t>https://www.theverge.com/2024/7/11/24196746/heres-how-openai-will-determine-how-powerful-its-ai-systems-are</t>
  </si>
  <si>
    <t>https://www.bloomberg.com/news/articles/2024-07-11/openai-sets-levels-to-track-progress-toward-superintelligent-ai</t>
  </si>
  <si>
    <t>Examples</t>
  </si>
  <si>
    <t>Chat GPT-1-3</t>
  </si>
  <si>
    <t>Yet to come. GPT-5-o1?</t>
  </si>
  <si>
    <t>A human at 18 years of age can learn to drive with just 20 hours of real world training, 10 hours of lectures and 40 hours of self studying a driving textbook. However, that brain is also trained to perceive world by 18 years of life. The size of training data in GB from life experience can be at most the video/audio equivalent (plus sensory inputs including metabolic input plus 2 eyes)  of the hours being awake in that life. I multiply a video stream of 4k, 60fps with 4 to get total sensory input</t>
  </si>
  <si>
    <t>Needed GB database of video to train robotaxi or 18 years old human brain for driving</t>
  </si>
  <si>
    <t>GB stored in adult human brain 18 years say video at 0.1fps at 1080p</t>
  </si>
  <si>
    <t># of images in 18 years of 0.1fps video 16hours awake</t>
  </si>
  <si>
    <r>
      <rPr>
        <b/>
        <sz val="11"/>
        <color theme="1"/>
        <rFont val="Calibri"/>
        <family val="2"/>
        <scheme val="minor"/>
      </rPr>
      <t>Source:</t>
    </r>
    <r>
      <rPr>
        <sz val="11"/>
        <color theme="1"/>
        <rFont val="Calibri"/>
        <family val="2"/>
        <scheme val="minor"/>
      </rPr>
      <t xml:space="preserve"> </t>
    </r>
  </si>
  <si>
    <t>This is AGI as it can replace CEOs and others of any company no matter how large and complex</t>
  </si>
  <si>
    <t>This level is not clear as agents is used to describe elements in agentic workflows which is systems of AI models and tools that can prompt each other in predetermined ways and loops to arrive at better solutions than just trying with one large AI model doing it at once without that sort of reasoning. Also many AI models even simple ones can be used to take actions like sorting trash on a conveyer belt or ID people for a security system that open up doors</t>
  </si>
  <si>
    <t>This is a level added by me HM</t>
  </si>
  <si>
    <t>Can create new civilizations on Moon, Mars &amp; beyond</t>
  </si>
  <si>
    <t>Datacenter</t>
  </si>
  <si>
    <t>Most likely</t>
  </si>
  <si>
    <t>https://cloud.google.com/blog/products/compute/introducing-trillium-6th-gen-tpus</t>
  </si>
  <si>
    <t>https://www.nextplatform.com/2024/06/10/lots-of-questions-on-googles-trillium-tpu-v6-a-few-answers/</t>
  </si>
  <si>
    <t>Google TPU v6</t>
  </si>
  <si>
    <t>Dec, 2024</t>
  </si>
  <si>
    <t>https://x.com/HMexperienceDK/status/1847992543545331734</t>
  </si>
  <si>
    <t>Pending</t>
  </si>
  <si>
    <t>Llama 1 65B by  Meta</t>
  </si>
  <si>
    <t>Llama 2 70B by Meta</t>
  </si>
  <si>
    <t>https://x.com/DrJimFan/status/1681372700881854465?ref_src=twsrc%5Etfw%7Ctwcamp%5Etweetembed%7Ctwterm%5E1681372700881854465%7Ctwgr%5E7249d5e9a5faa88242ea45b35b2543bea19bc1ba%7Ctwcon%5Es1_&amp;ref_url=https%3A%2F%2Fwww.searchenginejournal.com%2Fmeta-and-microsoft-release-llama-2-free-commercial-use-research%2F491963%2F</t>
  </si>
  <si>
    <t>Jun, 2024</t>
  </si>
  <si>
    <t>billion neurons for fruit fly with 50 million synapsis</t>
  </si>
  <si>
    <t>synapsis per neuron in fruit fly</t>
  </si>
  <si>
    <t>https://youtu.be/0AgAcarLnU4?si=g77Hs0Y7EijhY_EJ&amp;t=277</t>
  </si>
  <si>
    <t>https://en.wikipedia.org/wiki/Drosophila_melanogaster</t>
  </si>
  <si>
    <t>trillions alive</t>
  </si>
  <si>
    <t>https://youtu.be/mofEOSUkMpA?si=z2ZwILFA8n0FYzqB&amp;t=83</t>
  </si>
  <si>
    <t>https://youtu.be/mofEOSUkMpA?si=QfSzvnSE0yUFORIs&amp;t=129</t>
  </si>
  <si>
    <t>One AI will be able to do anything that any one human can do.</t>
  </si>
  <si>
    <t>One AI will be able to do what all humans on earth working together can do</t>
  </si>
  <si>
    <t>https://en.wikipedia.org/wiki/Elon_Musk</t>
  </si>
  <si>
    <t>2028/2029</t>
  </si>
  <si>
    <t>https://en.wikipedia.org/wiki/Sam_Altman</t>
  </si>
  <si>
    <t>https://en.wikipedia.org/wiki/Mark_Zuckerberg</t>
  </si>
  <si>
    <t>https://en.wikipedia.org/wiki/Demis_Hassabis</t>
  </si>
  <si>
    <t>https://www.linkedin.com/in/hmphd/</t>
  </si>
  <si>
    <t>https://en.wikipedia.org/wiki/Yann_LeCun</t>
  </si>
  <si>
    <t>https://en.wikipedia.org/wiki/Geoffrey_Hinton</t>
  </si>
  <si>
    <t>https://en.wikipedia.org/wiki/Vladimir_Putin</t>
  </si>
  <si>
    <t>https://en.wikipedia.org/wiki/Presidency_of_Barack_Obama</t>
  </si>
  <si>
    <t>https://en.wikipedia.org/wiki/Nick_Bostrom</t>
  </si>
  <si>
    <t>https://en.wikipedia.org/wiki/Max_Tegmark</t>
  </si>
  <si>
    <t>https://en.wikipedia.org/wiki/Jensen_Huang</t>
  </si>
  <si>
    <t>https://youtu.be/mofEOSUkMpA?si=NZxUS5UshDVJqqo4&amp;t=766</t>
  </si>
  <si>
    <t>https://youtu.be/mofEOSUkMpA?si=lKc-pY35MElxuapW&amp;t=868</t>
  </si>
  <si>
    <t>https://youtu.be/mofEOSUkMpA?si=b6iCZF1_uHrL_FFC&amp;t=131</t>
  </si>
  <si>
    <t>https://youtu.be/mofEOSUkMpA?si=b6iCZF1_uHrL_FFC&amp;t=132</t>
  </si>
  <si>
    <t>https://youtu.be/mofEOSUkMpA?si=Mw81VowNEClByC86&amp;t=148</t>
  </si>
  <si>
    <t>Intelligence</t>
  </si>
  <si>
    <t>Artificial General</t>
  </si>
  <si>
    <t>Artificial Super</t>
  </si>
  <si>
    <t>2025/2026 Musk say in video at 14:02 that he predicts time it will happen with 50% likelihood it will happen before the time he predicts and 50% chance it will happen later</t>
  </si>
  <si>
    <t>My wild guess. In 2045 if humanity has avoided global war I expect the world to have billions of AGI level humanoid robots that take care of all important production globally. For biological humans work is a hobby it is not needed to have an income. In such a world I expect an AGI level humanoid robot will only cost 20,000 USD to produce. This is also what Musk predicts see https://youtu.be/mofEOSUkMpA?si=gxF1-NcxeczyPpkh&amp;t=864</t>
  </si>
  <si>
    <t>https://darioamodei.com/</t>
  </si>
  <si>
    <t>https://en.wikipedia.org/wiki/Alex_Karp</t>
  </si>
  <si>
    <t>https://www.linkedin.com/in/aravind-srinivas-16051987/</t>
  </si>
  <si>
    <t>https://en.wikipedia.org/wiki/Stephen_Wolfram</t>
  </si>
  <si>
    <t>https://en.wikipedia.org/wiki/Eliezer_Yudkowsky</t>
  </si>
  <si>
    <r>
      <t>Aravind Srinivas</t>
    </r>
    <r>
      <rPr>
        <sz val="11"/>
        <color theme="1"/>
        <rFont val="Calibri"/>
        <family val="2"/>
        <scheme val="minor"/>
      </rPr>
      <t>, CEO Perplexity</t>
    </r>
  </si>
  <si>
    <r>
      <t xml:space="preserve">Stephen Wolfram, </t>
    </r>
    <r>
      <rPr>
        <sz val="11"/>
        <color theme="1"/>
        <rFont val="Calibri"/>
        <family val="2"/>
        <scheme val="minor"/>
      </rPr>
      <t>CEO Wolfram Research Inc.</t>
    </r>
  </si>
  <si>
    <r>
      <t xml:space="preserve">Eliezer Yudkowsky, </t>
    </r>
    <r>
      <rPr>
        <sz val="11"/>
        <color theme="1"/>
        <rFont val="Calibri"/>
        <family val="2"/>
        <scheme val="minor"/>
      </rPr>
      <t>Research fellow at the Machine Intelligence Research Institute. Known for his AI doom opinions</t>
    </r>
  </si>
  <si>
    <t>https://en.wikipedia.org/wiki/Ilya_Sutskever</t>
  </si>
  <si>
    <r>
      <t xml:space="preserve">Richard Sutton, </t>
    </r>
    <r>
      <rPr>
        <sz val="11"/>
        <color theme="1"/>
        <rFont val="Calibri"/>
        <family val="2"/>
        <scheme val="minor"/>
      </rPr>
      <t>professor computer science at University of Alberta, founders of AI reinforcement learning</t>
    </r>
  </si>
  <si>
    <t>https://en.wikipedia.org/wiki/Richard_S._Sutton</t>
  </si>
  <si>
    <t>2026-2027</t>
  </si>
  <si>
    <t>https://youtu.be/ugvHCXCOmm4?si=JIzRW7rLDGqttVEg&amp;t=8311</t>
  </si>
  <si>
    <t>https://en.wikipedia.org/wiki/J%C3%BCrgen_Schmidhuber</t>
  </si>
  <si>
    <t>Video source</t>
  </si>
  <si>
    <t>https://youtu.be/DP454c1K_vQ?si=cWdMK1lWE9vSvSuA</t>
  </si>
  <si>
    <r>
      <t>Jensen Huang,</t>
    </r>
    <r>
      <rPr>
        <sz val="11"/>
        <color theme="1"/>
        <rFont val="Calibri"/>
        <family val="2"/>
        <scheme val="minor"/>
      </rPr>
      <t xml:space="preserve"> CEO NVIDIA</t>
    </r>
  </si>
  <si>
    <r>
      <t xml:space="preserve">Alex Karp, </t>
    </r>
    <r>
      <rPr>
        <sz val="11"/>
        <color theme="1"/>
        <rFont val="Calibri"/>
        <family val="2"/>
        <scheme val="minor"/>
      </rPr>
      <t>CEO</t>
    </r>
    <r>
      <rPr>
        <b/>
        <sz val="11"/>
        <color theme="1"/>
        <rFont val="Calibri"/>
        <family val="2"/>
        <scheme val="minor"/>
      </rPr>
      <t xml:space="preserve"> </t>
    </r>
    <r>
      <rPr>
        <sz val="11"/>
        <color theme="1"/>
        <rFont val="Calibri"/>
        <family val="2"/>
        <scheme val="minor"/>
      </rPr>
      <t>Palantir Technologies making AI powered weapons</t>
    </r>
  </si>
  <si>
    <r>
      <t xml:space="preserve">Mark Zuckerberg, </t>
    </r>
    <r>
      <rPr>
        <sz val="11"/>
        <color theme="1"/>
        <rFont val="Calibri"/>
        <family val="2"/>
        <scheme val="minor"/>
      </rPr>
      <t>CEO Facebook</t>
    </r>
  </si>
  <si>
    <r>
      <t xml:space="preserve">Elon Musk, </t>
    </r>
    <r>
      <rPr>
        <sz val="11"/>
        <color theme="1"/>
        <rFont val="Calibri"/>
        <family val="2"/>
        <scheme val="minor"/>
      </rPr>
      <t>CEO Tesla, xAI</t>
    </r>
  </si>
  <si>
    <r>
      <t>Dario Amodei,</t>
    </r>
    <r>
      <rPr>
        <sz val="11"/>
        <color theme="1"/>
        <rFont val="Calibri"/>
        <family val="2"/>
        <scheme val="minor"/>
      </rPr>
      <t xml:space="preserve"> CEO Anthropic</t>
    </r>
  </si>
  <si>
    <r>
      <t xml:space="preserve">Sam Altman, </t>
    </r>
    <r>
      <rPr>
        <sz val="11"/>
        <color theme="1"/>
        <rFont val="Calibri"/>
        <family val="2"/>
        <scheme val="minor"/>
      </rPr>
      <t>CEO OpenAI</t>
    </r>
  </si>
  <si>
    <r>
      <t xml:space="preserve">Putin, </t>
    </r>
    <r>
      <rPr>
        <sz val="11"/>
        <color theme="1"/>
        <rFont val="Calibri"/>
        <family val="2"/>
        <scheme val="minor"/>
      </rPr>
      <t>dictator Russia</t>
    </r>
  </si>
  <si>
    <r>
      <t xml:space="preserve">Barack Obama, </t>
    </r>
    <r>
      <rPr>
        <sz val="11"/>
        <color theme="1"/>
        <rFont val="Calibri"/>
        <family val="2"/>
        <scheme val="minor"/>
      </rPr>
      <t>ex President USA</t>
    </r>
  </si>
  <si>
    <t>https://www.electronicdesign.com/markets/automotive/article/21214183/electronic-design-inside-mobileyes-eyeq-ultra-chip-for-the-future-of-self-driving-cars</t>
  </si>
  <si>
    <t xml:space="preserve">in </t>
  </si>
  <si>
    <t>country</t>
  </si>
  <si>
    <t>Taiwan</t>
  </si>
  <si>
    <t>http://www.researchinchina.com/Htmls/Report/2024/75004.html</t>
  </si>
  <si>
    <t>Nvidia is well known to have all their chips made in Taiwan by TSMC</t>
  </si>
  <si>
    <t>AMD is well known to have all their chips made in Taiwan by TSMC</t>
  </si>
  <si>
    <t>USA</t>
  </si>
  <si>
    <t>Made</t>
  </si>
  <si>
    <t>China</t>
  </si>
  <si>
    <t>Black Sesame A1000Pro</t>
  </si>
  <si>
    <t>https://www.blacksesame.com.cn/en/huashan-2-000pro/</t>
  </si>
  <si>
    <t>https://www.horizon.auto/</t>
  </si>
  <si>
    <t xml:space="preserve">Not possible to say where this being will be build. </t>
  </si>
  <si>
    <t>https://www.kedglobal.com/korean-chipmakers/newsView/ked202307180017</t>
  </si>
  <si>
    <t>Taiwan/South Korea TSMC &amp; Samsung</t>
  </si>
  <si>
    <t>Taiwan/TSMC</t>
  </si>
  <si>
    <t>South Korea/Samsung</t>
  </si>
  <si>
    <t>https://en.wikipedia.org/wiki/Tesla_Autopilot</t>
  </si>
  <si>
    <t>https://en.wikichip.org/wiki/mobileye/eyeq/eyeq5</t>
  </si>
  <si>
    <t>I could not find a source for this but most likely it is Taiwan  by TSCM</t>
  </si>
  <si>
    <t>https://www.digitimes.com/news/a20240410VL201/ai-chips+components-data-center-intel-server-ipc-cloud-computing-iot-tsmc.html</t>
  </si>
  <si>
    <t>https://www.cnbc.com/2024/08/23/how-google-makes-custom-cloud-chips-that-power-apple-ai-and-gemini.html</t>
  </si>
  <si>
    <t>https://www.eenewseurope.com/en/teslas-dojo-training-tile-in-production-at-tsmc/</t>
  </si>
  <si>
    <t>https://www.cdomagazine.tech/aiml/cerebras-systems-launches-wse-3-ai-chips-with-4-trillion-transistors</t>
  </si>
  <si>
    <t xml:space="preserve">Tesla HW3 or AI3 </t>
  </si>
  <si>
    <t xml:space="preserve">Tesla HW4 or AI4 </t>
  </si>
  <si>
    <t xml:space="preserve">Tesla HW5 or AI5 </t>
  </si>
  <si>
    <t>Intel Mobileye EyeQ5</t>
  </si>
  <si>
    <t>Qualcomm Snapdragon Ride, SA8650P</t>
  </si>
  <si>
    <t>https://www.macnica.co.jp/en/business/semiconductor/manufacturers/nvidia/products/141900/</t>
  </si>
  <si>
    <t>Amazon Trainium 2</t>
  </si>
  <si>
    <t>Nov, 2023</t>
  </si>
  <si>
    <t>https://www.anandtech.com/show/21173/amazons-trainium2-features-96-gb-hbm-quadruples-training-performance</t>
  </si>
  <si>
    <t>Oct, 2024</t>
  </si>
  <si>
    <t>https://en.wikipedia.org/wiki/Waymo#Technology</t>
  </si>
  <si>
    <t>https://en.wikipedia.org/wiki/Waymo#Chronology</t>
  </si>
  <si>
    <t>Dec, 2023</t>
  </si>
  <si>
    <t>5th gen. AI self driving car</t>
  </si>
  <si>
    <t>Tesla humanoid robot for factory use</t>
  </si>
  <si>
    <t xml:space="preserve">In development </t>
  </si>
  <si>
    <t>https://en.wikipedia.org/wiki/Optimus_(robot)#Generation_2</t>
  </si>
  <si>
    <t>100,000 paid robo rides per week by oct 2024</t>
  </si>
  <si>
    <t>Nvidia drive Jetson Orin AGX 64GB</t>
  </si>
  <si>
    <t>Aug, 2024</t>
  </si>
  <si>
    <t>https://blogs.nvidia.com/blog/figure-humanoid-robot-autonomous/</t>
  </si>
  <si>
    <t>https://en.wikipedia.org/wiki/Figure_AI#Figure_02</t>
  </si>
  <si>
    <t>Average US annual income human https://tradingeconomics.com/united-states/gdp-per-capita</t>
  </si>
  <si>
    <t>Nvidia A100 used for GTP-4 training</t>
  </si>
  <si>
    <t>Other AI models that are not any of the above types listed in table</t>
  </si>
  <si>
    <t>https://youtu.be/Ha0KrXzI4SM?si=rR5nTkbFr0o7GKmz&amp;t=30</t>
  </si>
  <si>
    <t>https://developer.nvidia.com/embedded/downloads#?search=Data%20Sheet&amp;tx=$product,jetson_agx_orin,jetson_orin_nx,jetson_orin_nano</t>
  </si>
  <si>
    <t>https://youtu.be/Ha0KrXzI4SM?si=Hhcf0zaCcFuhgx6N</t>
  </si>
  <si>
    <t>Under development for use in war likely undergoing testing in Ukraine. All components are sourced from democratic countries</t>
  </si>
  <si>
    <t>I guess 1 chip to keep cost down</t>
  </si>
  <si>
    <t>million USD</t>
  </si>
  <si>
    <t>&lt;10000?</t>
  </si>
  <si>
    <t>Video/captions</t>
  </si>
  <si>
    <t>Video/audio/body motory sensory</t>
  </si>
  <si>
    <t>Chips for AI inference in mobile devices such as military drones, automobiles and humanoid robots</t>
  </si>
  <si>
    <t>OpenAI GPT-4 training cluster</t>
  </si>
  <si>
    <t>https://huggingface.co/stabilityai/stable-diffusion-2-1</t>
  </si>
  <si>
    <t>https://www.youtube.com/watch?v=7I854do63Lg&amp;t=15s</t>
  </si>
  <si>
    <t>Regarding computing</t>
  </si>
  <si>
    <t>Megatrend</t>
  </si>
  <si>
    <t>Problems</t>
  </si>
  <si>
    <t>problems</t>
  </si>
  <si>
    <t>Methods</t>
  </si>
  <si>
    <t xml:space="preserve">to solve </t>
  </si>
  <si>
    <t>More and higher quality data used for training of AI models consistently leads to more intelligent and capable AI models</t>
  </si>
  <si>
    <t>The more compute you use to estimate AI model parameters when training AI models the better the parameters will be estimated and the more intelligent and capable the AI models will be</t>
  </si>
  <si>
    <t>The more parameters and the more layers of parameters in the AI model network the more intelligent and capable the AI models</t>
  </si>
  <si>
    <t>https://youtu.be/fKXztwtXaGo?si=YhpgsxHENr8s560Y</t>
  </si>
  <si>
    <t>https://youtu.be/OopTOjnD3qY?si=tzIOvAm_kvBZRmsZ</t>
  </si>
  <si>
    <t>https://youtu.be/cpraXaw7dyc?si=-CjynClKa4yIn2oY&amp;t=24</t>
  </si>
  <si>
    <t>https://youtu.be/Q9Ze7OSfZzE?si=pbBVTOYkHII_MtpO</t>
  </si>
  <si>
    <t>https://youtu.be/0SRVJaOg9Co?si=88KsVKansUH8rnLH</t>
  </si>
  <si>
    <t>https://www.youtube.com/watch?v=WlUFoZstcWg</t>
  </si>
  <si>
    <t>https://www.youtube.com/watch?v=ugvHCXCOmm4&amp;t=194s</t>
  </si>
  <si>
    <t>https://semianalysis.com/2024/09/04/multi-datacenter-training-openais/</t>
  </si>
  <si>
    <t>Forthcoming megatrends as expected by HM</t>
  </si>
  <si>
    <t>Always on training and inference AI chips for androids</t>
  </si>
  <si>
    <t>https://en.wikipedia.org/wiki/Andrew_Ng</t>
  </si>
  <si>
    <t>https://en.wikipedia.org/wiki/Connor_Leahy</t>
  </si>
  <si>
    <r>
      <t xml:space="preserve">Connor Leahy, </t>
    </r>
    <r>
      <rPr>
        <sz val="11"/>
        <color theme="1"/>
        <rFont val="Calibri"/>
        <family val="2"/>
        <scheme val="minor"/>
      </rPr>
      <t>researcher and entrepreneur known for his doom opinions</t>
    </r>
  </si>
  <si>
    <t>https://en.wikipedia.org/wiki/Ben_Goertzel</t>
  </si>
  <si>
    <r>
      <t xml:space="preserve">Ben Goertzel, </t>
    </r>
    <r>
      <rPr>
        <sz val="11"/>
        <color theme="1"/>
        <rFont val="Calibri"/>
        <family val="2"/>
        <scheme val="minor"/>
      </rPr>
      <t>computer scientist and AI researcher</t>
    </r>
  </si>
  <si>
    <t>Many more smaller and highly specialized models</t>
  </si>
  <si>
    <t>https://news.fsu.edu/news/science-technology/2017/08/09/fruit-fly-mutation-foretells-40-million-years-evolution/</t>
  </si>
  <si>
    <t>Motion, sensing, reflexes, etc.</t>
  </si>
  <si>
    <t>I assume a fruit fly has 10,000 times less information flows in its brain than a human</t>
  </si>
  <si>
    <t>I assume a mouse has 100 times less information flows in its brain than a human</t>
  </si>
  <si>
    <t>times less data input than a human brain my assumption</t>
  </si>
  <si>
    <t>Video file size for 4k, 60pfs for 16 years nonstop, H265 or 30 billion 4k images, 1 eye</t>
  </si>
  <si>
    <t>16yr life experience</t>
  </si>
  <si>
    <t>years of non-stop data to fully mature brain</t>
  </si>
  <si>
    <t>https://youtu.be/KrRD7r7y7NY?si=7wpi0fGu5UQYDxgi&amp;t=545</t>
  </si>
  <si>
    <t>years of life expectancy</t>
  </si>
  <si>
    <t>https://projectchimps.org/how-old-is-old/</t>
  </si>
  <si>
    <t>7.6yr life experience</t>
  </si>
  <si>
    <t>https://wolfhaven.org/conservation/wolves/basic-facts-about-gray-wolves/</t>
  </si>
  <si>
    <t>3.0yr life experience</t>
  </si>
  <si>
    <t>https://www.ecoguardpestmanagement.com/pest-resources/how-long-do-mice-live</t>
  </si>
  <si>
    <t>https://www.awf.org/news/elephants-live-longer-wild-study-shows</t>
  </si>
  <si>
    <t>Other</t>
  </si>
  <si>
    <t>https://www.orkin.com/pests/flies/fruit-flies/life-span-of-fruit-fly</t>
  </si>
  <si>
    <t>https://en.wikipedia.org/wiki/Marc_Andreessen</t>
  </si>
  <si>
    <r>
      <t xml:space="preserve">Marc Andreessen, </t>
    </r>
    <r>
      <rPr>
        <sz val="11"/>
        <color theme="1"/>
        <rFont val="Calibri"/>
        <family val="2"/>
        <scheme val="minor"/>
      </rPr>
      <t>general partner at the venture capital firm Andreessen Horowitz</t>
    </r>
  </si>
  <si>
    <r>
      <t xml:space="preserve">Andrew Yan-Tak Ng, </t>
    </r>
    <r>
      <rPr>
        <sz val="11"/>
        <color theme="1"/>
        <rFont val="Calibri"/>
        <family val="2"/>
        <scheme val="minor"/>
      </rPr>
      <t>technology entrepreneur, venture capital investor and computer scientist</t>
    </r>
  </si>
  <si>
    <r>
      <t xml:space="preserve">Geoffrey Hinton, </t>
    </r>
    <r>
      <rPr>
        <sz val="11"/>
        <color theme="1"/>
        <rFont val="Calibri"/>
        <family val="2"/>
        <scheme val="minor"/>
      </rPr>
      <t>computer scientist and now Nobel Laurate in physics for his contribution to develop AI algorithm</t>
    </r>
  </si>
  <si>
    <r>
      <t xml:space="preserve">Nick Bostrom, </t>
    </r>
    <r>
      <rPr>
        <sz val="11"/>
        <color theme="1"/>
        <rFont val="Calibri"/>
        <family val="2"/>
        <scheme val="minor"/>
      </rPr>
      <t>Oxford University professor in philosophy</t>
    </r>
  </si>
  <si>
    <r>
      <t xml:space="preserve">Yann LeCun, </t>
    </r>
    <r>
      <rPr>
        <sz val="11"/>
        <color theme="1"/>
        <rFont val="Calibri"/>
        <family val="2"/>
        <scheme val="minor"/>
      </rPr>
      <t>Chief AI Scientist at Meta, professor at New York University</t>
    </r>
  </si>
  <si>
    <r>
      <t>Eric Schmidt</t>
    </r>
    <r>
      <rPr>
        <sz val="11"/>
        <color theme="1"/>
        <rFont val="Calibri"/>
        <family val="2"/>
        <scheme val="minor"/>
      </rPr>
      <t>, former CEO of Google</t>
    </r>
  </si>
  <si>
    <t>https://en.wikipedia.org/wiki/Eric_Schmidt</t>
  </si>
  <si>
    <t>https://www.youtube.com/live/xMvPuRfXOdM?si=nidLspMLHuZYW4o7&amp;t=1929</t>
  </si>
  <si>
    <t>https://youtu.be/UZDiGooFs54?si=LKk33NwxNG0MDvad&amp;t=68</t>
  </si>
  <si>
    <t>Training</t>
  </si>
  <si>
    <t>compute</t>
  </si>
  <si>
    <t>https://youtu.be/UZDiGooFs54?si=KGloKwOuX9n-CNdZ&amp;t=1013</t>
  </si>
  <si>
    <t>https://en.wikipedia.org/wiki/AlexNet#</t>
  </si>
  <si>
    <t>AlexNet by Hinton &amp; Sutskever</t>
  </si>
  <si>
    <t>1.2M images</t>
  </si>
  <si>
    <t>https://blog.heim.xyz/palm-training-cost/</t>
  </si>
  <si>
    <t>Zetta</t>
  </si>
  <si>
    <t>10^21</t>
  </si>
  <si>
    <t>Yotta</t>
  </si>
  <si>
    <t>10^24</t>
  </si>
  <si>
    <t>Ronna</t>
  </si>
  <si>
    <t>10^27</t>
  </si>
  <si>
    <t>https://en.wikipedia.org/wiki/AlexNet#Training</t>
  </si>
  <si>
    <t>https://ourworldindata.org/grapher/artificial-intelligence-training-computation?country=~GPT-1</t>
  </si>
  <si>
    <t>https://ourworldindata.org/grapher/artificial-intelligence-training-computation?country=GPT-1~GPT~GPT-2+%281.5B%29~GPT-3+175B+%28davinci%29</t>
  </si>
  <si>
    <t>https://ourworldindata.org/grapher/artificial-intelligence-training-computation?country=GPT-1~GPT~GPT-2+%281.5B%29~GPT-3+175B+%28davinci%28</t>
  </si>
  <si>
    <r>
      <t xml:space="preserve">GPT-3.5 by OpenAI, </t>
    </r>
    <r>
      <rPr>
        <sz val="11"/>
        <color theme="1"/>
        <rFont val="Calibri"/>
        <family val="2"/>
        <scheme val="minor"/>
      </rPr>
      <t>refined GPT-3</t>
    </r>
  </si>
  <si>
    <t>human training time to mature brain</t>
  </si>
  <si>
    <t>years of life expectancy of human</t>
  </si>
  <si>
    <t>https://ourworldindata.org/grapher/artificial-intelligence-training-computation?country=GPT~PaLM+2~PaLM+%28540B%29</t>
  </si>
  <si>
    <t>https://ourworldindata.org/grapher/artificial-intelligence-training-computation?country=GPT~Llama+3.1-405B</t>
  </si>
  <si>
    <t>https://ourworldindata.org/grapher/artificial-intelligence-training-computation?country=GPT~AlexNet</t>
  </si>
  <si>
    <t>https://ourworldindata.org/grapher/artificial-intelligence-training-computation?country=GPT-1~GPT~GPT-2+%281.5B%29~GPT-3+175B+%28davinci%30</t>
  </si>
  <si>
    <t>Mouse train their neural networks constantly through life although the ability to do it effectively decreases with age.</t>
  </si>
  <si>
    <t>Elephant train their neural networks constantly through life although the ability to do it effectively decreases with age.</t>
  </si>
  <si>
    <t>Fruit fly train their neural networks constantly through life although the ability to do it effectively decreases with age.</t>
  </si>
  <si>
    <t>AI development megatrends</t>
  </si>
  <si>
    <t>https://en.wikipedia.org/wiki/Steven_Pinker</t>
  </si>
  <si>
    <t>https://youtu.be/epQxfSp-rdU?si=0AtzRwsv1SDcnrm9&amp;t=915</t>
  </si>
  <si>
    <t xml:space="preserve">capable beings in the observable </t>
  </si>
  <si>
    <t xml:space="preserve">Stance on technological civilization </t>
  </si>
  <si>
    <r>
      <t xml:space="preserve">Steven Pinker, </t>
    </r>
    <r>
      <rPr>
        <sz val="11"/>
        <color theme="1"/>
        <rFont val="Calibri"/>
        <family val="2"/>
        <scheme val="minor"/>
      </rPr>
      <t>professor in psychology Harward U.</t>
    </r>
  </si>
  <si>
    <t>He does not see AGI as an existential risks for humanity and find it silly to think an AI intelligent enough to kill humanity will also not be intelligent enough not to do so.</t>
  </si>
  <si>
    <t>https://youtu.be/S9L2WGf1KrM?si=SwwHF2e1YyDxtoC7</t>
  </si>
  <si>
    <t>https://youtu.be/S9L2WGf1KrM?si=SwwHF2e1YyDxtoC8</t>
  </si>
  <si>
    <t>https://youtu.be/S9L2WGf1KrM?si=SwwHF2e1YyDxtoC9</t>
  </si>
  <si>
    <t>https://www.nvidia.com/en-us/autonomous-machines/embedded-systems/jetson-orin/nano-super-developer-kit/</t>
  </si>
  <si>
    <t>Memory 8GB*4 =32GB for each of the 2 HW3 chips, 4 memory chips on top side of motherboard</t>
  </si>
  <si>
    <t>Memory 16GB*8 =128GB for each of 2 HW4 chips, 4 memory chips on each side of motherboard</t>
  </si>
  <si>
    <t>https://www.hackster.io/news/nvidia-unveils-the-jetson-orin-nano-super-delivers-a-1-7x-gen-ai-speed-boost-for-all-3602c2e98c40</t>
  </si>
  <si>
    <t>hardware is same as for Orin Nano see https://www.hackster.io/news/nvidia-unveils-the-jetson-orin-nano-super-delivers-a-1-7x-gen-ai-speed-boost-for-all-3602c2e98c40</t>
  </si>
  <si>
    <t>Nvidia Jetson Orin 8GB Nano Super</t>
  </si>
  <si>
    <t xml:space="preserve">Nvidia drive Jetson Orin 8GB NX nano </t>
  </si>
  <si>
    <t>Nvidia Jetson Orin 16GB Nano Super</t>
  </si>
  <si>
    <t>https://www.hackster.io/news/nvidia-unveils-the-jetson-orin-nano-super-delivers-a-1-7x-gen-ai-speed-boost-for-all-3602c2e98c41</t>
  </si>
  <si>
    <t>Nvidia drive Jetson Orin AGX 32GB</t>
  </si>
  <si>
    <t>https://connecttech.com/product/900-13701-0040-000-nvidia-jetson-agx-orin-32gb-module/</t>
  </si>
  <si>
    <t>https://en.wikipedia.org/wiki/Joscha_Bach</t>
  </si>
  <si>
    <r>
      <rPr>
        <b/>
        <sz val="11"/>
        <color theme="1"/>
        <rFont val="Calibri"/>
        <family val="2"/>
        <scheme val="minor"/>
      </rPr>
      <t>Joscha Bach</t>
    </r>
    <r>
      <rPr>
        <sz val="11"/>
        <color theme="1"/>
        <rFont val="Calibri"/>
        <family val="2"/>
        <scheme val="minor"/>
      </rPr>
      <t>, AI researcher and philosopher</t>
    </r>
  </si>
  <si>
    <t>Optimistic</t>
  </si>
  <si>
    <t>https://en.wikipedia.org/wiki/Yuval_Noah_Harari</t>
  </si>
  <si>
    <r>
      <t xml:space="preserve">Yuval Noah Harari,  </t>
    </r>
    <r>
      <rPr>
        <sz val="11"/>
        <color theme="1"/>
        <rFont val="Calibri"/>
        <family val="2"/>
        <scheme val="minor"/>
      </rPr>
      <t>historian professor at Hebrew University Jerusalem</t>
    </r>
  </si>
  <si>
    <t xml:space="preserve">Doomer want humans to control AGIs. </t>
  </si>
  <si>
    <t>https://youtu.be/F6Mil5d7ANo?si=XCTjRJr6owOVLnQ4&amp;t=208</t>
  </si>
  <si>
    <t>https://en.wikipedia.org/wiki/Jeff_Bezos</t>
  </si>
  <si>
    <r>
      <t>Jeff Bezos,</t>
    </r>
    <r>
      <rPr>
        <sz val="11"/>
        <color theme="1"/>
        <rFont val="Calibri"/>
        <family val="2"/>
        <scheme val="minor"/>
      </rPr>
      <t xml:space="preserve"> former CEO of Amazon</t>
    </r>
  </si>
  <si>
    <t>p(doom)</t>
  </si>
  <si>
    <t>&lt;1%</t>
  </si>
  <si>
    <t>&lt;0.01%</t>
  </si>
  <si>
    <t>https://pauseai.info/pdoom</t>
  </si>
  <si>
    <t>10%-25%</t>
  </si>
  <si>
    <t>https://x.com/liron/status/1710520914444718459?ref_src=twsrc%5Etfw%7Ctwcamp%5Etweetembed%7Ctwterm%5E1710520914444718459%7Ctwgr%5E95509dc51421ba81b167c79505c235b5b22d22bb%7Ctwcon%5Es1_&amp;ref_url=https%3A%2F%2Fmanifold.markets%2FManifoldAI%2Fpdoom-dario-amodei-2d86c76a9dbe%3Fplay%3Dtrue</t>
  </si>
  <si>
    <t>10%-20%</t>
  </si>
  <si>
    <r>
      <t xml:space="preserve">Emad Mostaque, </t>
    </r>
    <r>
      <rPr>
        <sz val="11"/>
        <color theme="1"/>
        <rFont val="Calibri"/>
        <family val="2"/>
        <scheme val="minor"/>
      </rPr>
      <t>Founder of Stability AI</t>
    </r>
  </si>
  <si>
    <t>https://en.wikipedia.org/wiki/Emad_Mostaque</t>
  </si>
  <si>
    <t>&gt;95%</t>
  </si>
  <si>
    <t>https://en.wikipedia.org/wiki/Roman_Yampolskiy</t>
  </si>
  <si>
    <r>
      <t xml:space="preserve">Roman Yampolskiy, </t>
    </r>
    <r>
      <rPr>
        <sz val="11"/>
        <color theme="1"/>
        <rFont val="Calibri"/>
        <family val="2"/>
        <scheme val="minor"/>
      </rPr>
      <t>computer scientist at University of Louisville</t>
    </r>
  </si>
  <si>
    <t>https://www.youtube.com/watch?v=xW0xjAMD60c</t>
  </si>
  <si>
    <t>Optimistic. He expects the AIs to colonize the visible universe.</t>
  </si>
  <si>
    <t xml:space="preserve">Super optimistic. Humans will merge gradually with technology and over time become AGIs or ASIs themselves. Kurzweil consider AGIs and ASIs not to be meaningfully different from humans but simply a more advanced and capable version of something that began with biological humans. </t>
  </si>
  <si>
    <t>https://youtu.be/xqS5PDYbTsE?si=wfGr2FkFQSXLVhQV&amp;t=1080</t>
  </si>
  <si>
    <t>https://en.wikipedia.org/wiki/Gary_Marcus</t>
  </si>
  <si>
    <r>
      <t xml:space="preserve">Gary Marcus, </t>
    </r>
    <r>
      <rPr>
        <sz val="11"/>
        <color theme="1"/>
        <rFont val="Calibri"/>
        <family val="2"/>
        <scheme val="minor"/>
      </rPr>
      <t>professor emeritus NYU</t>
    </r>
  </si>
  <si>
    <t>My personal impression</t>
  </si>
  <si>
    <t>billion neurons for house cat</t>
  </si>
  <si>
    <t>Chat GPT estimate. Got it after 2 prompts 1st how many neurons in a house cat brain 2nd the number you give is for forebrain only. I want the number of neurons for whole nervous system</t>
  </si>
  <si>
    <t>https://en.wikipedia.org/wiki/Wildcat#Evolution</t>
  </si>
  <si>
    <t>https://worldanimalfoundation.org/cats/how-many-cats-are-in-the-world/</t>
  </si>
  <si>
    <t>0.8 billion</t>
  </si>
  <si>
    <t>Cats train their neural networks constantly through life although the ability to do it effectively decreases with age.</t>
  </si>
  <si>
    <t>Cats do not live as long as humans</t>
  </si>
  <si>
    <t>https://www.cats.org.uk/cats-blog/how-long-do-pet-cats-live</t>
  </si>
  <si>
    <t>2.4yr life experience</t>
  </si>
  <si>
    <t>YouTube data storage in 2024</t>
  </si>
  <si>
    <t>Education &amp; entertainment</t>
  </si>
  <si>
    <t>https://photutorial.com/how-many-videos-on-youtube/</t>
  </si>
  <si>
    <t>https://www.qqtube.com/blog/how-much-storage-does-youtube-have?utm_source=chatgpt.com</t>
  </si>
  <si>
    <t>https://cerebras.ai/product-chip/</t>
  </si>
  <si>
    <t>GTP4/full brain</t>
  </si>
  <si>
    <t>GPT4/forebrain</t>
  </si>
  <si>
    <t>GB200/all brain info</t>
  </si>
  <si>
    <t>GB200/text reading brain</t>
  </si>
  <si>
    <t>Nvidia GB200 chipset/human brain</t>
  </si>
  <si>
    <t>GPT4/human brain</t>
  </si>
  <si>
    <t>4.3 billion videos/82,000 years if 10 min. avg video</t>
  </si>
  <si>
    <t>Jan, 2025</t>
  </si>
  <si>
    <t>Nvidia RTX 4070 laptop</t>
  </si>
  <si>
    <t>GPU / desktops</t>
  </si>
  <si>
    <t>Nvidia RTX 5090 Blackwell desktop</t>
  </si>
  <si>
    <t>https://www.nvidia.com/en-us/geforce/graphics-cards/50-series/rtx-5090/</t>
  </si>
  <si>
    <t>https://www.youtube.com/live/k82RwXqZHY8?si=broRCykvB1VIrIPV&amp;t=901</t>
  </si>
  <si>
    <t>https://www.youtube.com/live/k82RwXqZHY8?si=zNKlL1p7msR5uT7J&amp;t=1167</t>
  </si>
  <si>
    <t>https://beebom.com/nvidia-geforce-rtx-5090-everything-you-need-to-know/</t>
  </si>
  <si>
    <t>Public  dec 2024</t>
  </si>
  <si>
    <t>Nvidia drive Thor Blackwell</t>
  </si>
  <si>
    <t>https://en.wikipedia.org/wiki/Nvidia_Drive#DRIVE_Thor</t>
  </si>
  <si>
    <t>https://www.youtube.com/live/k82RwXqZHY8?si=r2RoZo-soXGLwQng&amp;t=902</t>
  </si>
  <si>
    <t>https://www.youtube.com/live/k82RwXqZHY8?si=cAuh57MZ8KLCQXRK&amp;t=3134</t>
  </si>
  <si>
    <t>https://www.youtube.com/live/k82RwXqZHY8?si=Irin5ZOUzJ5kkhzJ&amp;t=3300</t>
  </si>
  <si>
    <t>https://www.youtube.com/live/k82RwXqZHY8?si=dZKriith_o7bcx1D&amp;t=3470</t>
  </si>
  <si>
    <t>https://huggingface.co/blog/mingyuliutw/nvidia-cosmos</t>
  </si>
  <si>
    <t>https://techcrunch.com/2025/01/06/nvidia-releases-its-own-brand-of-world-models/</t>
  </si>
  <si>
    <t>https://www.youtube.com/live/k82RwXqZHY8?si=zjX7fDUhbLrafnjd&amp;t=3605</t>
  </si>
  <si>
    <t xml:space="preserve">Free </t>
  </si>
  <si>
    <t>10 USD/mile</t>
  </si>
  <si>
    <t>https://thelastdriverlicenseholder.com/2024/08/01/costs-of-waymo-rides/</t>
  </si>
  <si>
    <t xml:space="preserve">Image of Thor board show 4 memory chips that likely are 128GB </t>
  </si>
  <si>
    <t>https://www.anandtech.com/show/17582/nvidia-drops-drive-atlan-soc-introduces-2-pflops-drive-thor-for-2025-autos</t>
  </si>
  <si>
    <t>same as Thor</t>
  </si>
  <si>
    <t>May, 2025</t>
  </si>
  <si>
    <t>Nvidia GB10 "Project DIGITS" Grace Blackwell</t>
  </si>
  <si>
    <t>Chips for other consumer products</t>
  </si>
  <si>
    <t>https://nvidianews.nvidia.com/news/nvidia-puts-grace-blackwell-on-every-desk-and-at-every-ai-developers-fingertips#:~:text=The%20GB10%20Superchip%20is%20a%20system-on-a-chip%20%28SoC%29%20based,1%20petaflop%20of%20AI%20performance%20at%20FP4%20precision.</t>
  </si>
  <si>
    <t>My guess most likely</t>
  </si>
  <si>
    <t>Memory 8*16GB=128GB GDDR5X</t>
  </si>
  <si>
    <t>https://youtu.be/N6xDzN71BYo?si=h4yU0DcKOhM2VH5S&amp;t=1750</t>
  </si>
  <si>
    <t>See https://www.theregister.com/2025/01/07/nvidia_project_digits_mini_pc/ Alternative source say 450GB/s No official statement yet but Nvidia say GB10 uses GDDR5X that is known to be 450 GB/s see https://youtu.be/s_gwonruOyw?si=PLi-JC8M3EHMMcTi&amp;t=124</t>
  </si>
  <si>
    <t>https://www.theregister.com/2025/01/07/nvidia_project_digits_mini_pc/</t>
  </si>
  <si>
    <t>Memory 4*32GB</t>
  </si>
  <si>
    <t>https://blogs.nvidia.com/blog/drive-thor/</t>
  </si>
  <si>
    <t>SoC / AI inference, vision can cluster to 2 units using NVLink-C2C</t>
  </si>
  <si>
    <t>CPU/GPU AI inference. Cluster to 2 units using NVLink-C2C</t>
  </si>
  <si>
    <t xml:space="preserve">Chips for tiny AI supercomputers at home controlled by PC/Mac using terminal services </t>
  </si>
  <si>
    <t>https://www.theregister.com/2025/01/07/nvidia_project_digits_mini_pc/ can cluser to 2 units for a combined 256GB memory enough say Nvidia to run Lama 405B model</t>
  </si>
  <si>
    <t>https://www.youtube.com/live/k82RwXqZHY8?si=OGPQXThJE4QKjjmT&amp;t=4205 see https://www.reddit.com/r/LocalLLaMA/comments/1fqsafn/nvidia_jetson_agx_thor_will_have_128gb_of_vram_in/</t>
  </si>
  <si>
    <t>Same as Orin 64GB when that launched my best guess</t>
  </si>
  <si>
    <t>https://x.com/fchollet/status/1870169764762710376</t>
  </si>
  <si>
    <t>https://arcprize.org/arc</t>
  </si>
  <si>
    <t>https://www.thealgorithmicbridge.com/p/openai-o3-model-is-a-message-from</t>
  </si>
  <si>
    <t>Regarding scaling laws making AI models more intelligent</t>
  </si>
  <si>
    <t>https://www.youtube.com/live/k82RwXqZHY8?si=dqkfdtDbuEmko3Pz&amp;t=3310</t>
  </si>
  <si>
    <t>robots</t>
  </si>
  <si>
    <t>https://www.youtube.com/live/k82RwXqZHY8?si=EpgkfKkncgzal3VX&amp;t=4581</t>
  </si>
  <si>
    <t>autonomous vehicles</t>
  </si>
  <si>
    <t>https://www.youtube.com/live/k82RwXqZHY8?si=6DOHU0vcZAIKS9X-&amp;t=4183</t>
  </si>
  <si>
    <t>drones</t>
  </si>
  <si>
    <t>https://www.youtube.com/watch?v=DrNcXgoFv20</t>
  </si>
  <si>
    <t>https://en.wikipedia.org/wiki/Fran%C3%A7ois_Chollet</t>
  </si>
  <si>
    <t>https://en.wikipedia.org/wiki/Flux_(text-to-image_model)#Models</t>
  </si>
  <si>
    <t>https://learnopencv.com/flux-ai-image-generator/#aioseo-inferencing-with-flux-dev-ai-model</t>
  </si>
  <si>
    <t>Flux.1 -Dev by Black Forest Lab from Stability AI</t>
  </si>
  <si>
    <t>Free &amp; 12-$30</t>
  </si>
  <si>
    <t>https://flux1.ai/price</t>
  </si>
  <si>
    <t>https://youtu.be/1uIzS1uCOcE?si=ejSlvNCV9O8BAb52&amp;t=190</t>
  </si>
  <si>
    <t>https://youtu.be/xqS5PDYbTsE?si=wfGr2FkFQSXLVhQV&amp;t=1080
https://youtu.be/1uIzS1uCOcE?si=RM4GruxkPv2ERY6P&amp;t=220</t>
  </si>
  <si>
    <t xml:space="preserve">He spend more time trying to be provocative than trying to say something useful. </t>
  </si>
  <si>
    <t xml:space="preserve">He is smart and has a pleasant humble personality. He made it crystal clear to me that well designed agentic workflows is at the core of developing high levels of intelligence. A smaller AI model can become much more capable and intelligent than a much larger AI model in the same domain if combined with an agentic workflow. Also much cheaper to develop agentic workflows that operate on top of AI models than try to train new AI models. </t>
  </si>
  <si>
    <t>He argues that because of exponential growth of technology any species that reaches the technological singularity will soon thereafter (few thousands years) spread out (at fraction of speed of light) and transform the universe to computronium or massive supercomputers harboring AI life in simulated worlds as well as physical worlds. Ray argue that if any such civilization exist they will be easily discovered because of the energy consumption with many solar systems covered in solar panels red shifting the light from those stars making them easily detectable as singularity level civilizations. Ray argues that the fact we do not observe those civilizations is proof they don't exist yet in the observable universe or that we are already living inside a simulated world by one of those civilizations and that they run the simulation as if we are the first technological civilization approaching the singularity.</t>
  </si>
  <si>
    <t>https://www.medicinenet.com/what_is_the_life_expectancy_today/article.htm</t>
  </si>
  <si>
    <t>Yes</t>
  </si>
  <si>
    <t>No</t>
  </si>
  <si>
    <t>Ability to communicate with sophisticated voice</t>
  </si>
  <si>
    <t>common knowledge</t>
  </si>
  <si>
    <r>
      <t>Life expectancy</t>
    </r>
    <r>
      <rPr>
        <sz val="11"/>
        <color theme="1"/>
        <rFont val="Calibri"/>
        <family val="2"/>
        <scheme val="minor"/>
      </rPr>
      <t xml:space="preserve"> (in Earth years)</t>
    </r>
  </si>
  <si>
    <t>https://x.com/Tesla_Optimus/status/1866171391156113740</t>
  </si>
  <si>
    <t>https://x.com/SawyerMerritt/status/1844638183449104493</t>
  </si>
  <si>
    <t>Immortal</t>
  </si>
  <si>
    <t>https://www.catster.com/lifestyle/cat-vision-vs-human-vision/</t>
  </si>
  <si>
    <t>Partly. Cats only see clearly for up to 6 meters and are not able to focus like younger humans (below 40 years) can because humans can change shape of their focus lenses. On the other hand cats see much better than humans in darkness.</t>
  </si>
  <si>
    <t>Example</t>
  </si>
  <si>
    <t>Any AI model</t>
  </si>
  <si>
    <t>Create better supercomputers</t>
  </si>
  <si>
    <t>2028-2034</t>
  </si>
  <si>
    <t>https://youtu.be/xXCBz_8hM9w?si=xSC8l-AaGJ3hlkJH&amp;t=106</t>
  </si>
  <si>
    <t>https://youtu.be/7k1ehaE0bdU?si=UXwmgcYsS5_DUUOR&amp;t=8148
https://youtu.be/xXCBz_8hM9w?si=60BmhswROwJNlX4Q&amp;t=165
https://youtu.be/_jDDAxB1UPY?si=AAhOosKQWbHROk1X</t>
  </si>
  <si>
    <t>Very optimistic</t>
  </si>
  <si>
    <t>https://youtu.be/xXCBz_8hM9w?si=XBY4tOYSj9b6ulIv&amp;t=182</t>
  </si>
  <si>
    <t>Mostly optimistic</t>
  </si>
  <si>
    <t>https://darioamodei.com/machines-of-loving-grace</t>
  </si>
  <si>
    <t>https://youtu.be/Gi8LUnhP5yU?si=DeIrN26V3rQ6g0ND&amp;t=147</t>
  </si>
  <si>
    <t>https://youtu.be/UWh1MIMQd1Y?si=shlmCtbU-D49dEhe
https://youtu.be/Gi8LUnhP5yU?si=CqANeWx4G1wYLacU&amp;t=576</t>
  </si>
  <si>
    <t xml:space="preserve">In 2018 Max was an optimist wishing for the development of Life 3.0 (AGI level humanoids). Now in 2025 he want all development of AGI banned and only narrow AI (tool AI) to be developed. He argues he does not want a future where humans have become redundant because AGI humanoids are doing all the work running the civilization. </t>
  </si>
  <si>
    <t>Definition</t>
  </si>
  <si>
    <t>Seconds to minutes to weeks</t>
  </si>
  <si>
    <t>Days to months</t>
  </si>
  <si>
    <t>https://youtu.be/oYmKOgeoOz4?si=9I4v5D4EyUCcz38E&amp;t=185</t>
  </si>
  <si>
    <t>(aka its mind)</t>
  </si>
  <si>
    <t>https://en.wikipedia.org/wiki/E._O._Wilson</t>
  </si>
  <si>
    <t>https://klu.ai/blog/gpt-4-llm</t>
  </si>
  <si>
    <t>https://youtu.be/MGJpR591oaM?si=pXUUM1TqmPrUUSlm&amp;t=101</t>
  </si>
  <si>
    <t>Ability to solve very difficult code and math problems</t>
  </si>
  <si>
    <t>Yes, experts can</t>
  </si>
  <si>
    <t>Ability to writhe good essays</t>
  </si>
  <si>
    <t>Yes, good students</t>
  </si>
  <si>
    <t>Ability to writhe good books</t>
  </si>
  <si>
    <t>Yes, authors can do</t>
  </si>
  <si>
    <t>No. The books are not worth reading.</t>
  </si>
  <si>
    <t>When using systems of AI models that are tied together with agentic workflows and the ability to temporarily or permanently update model parameters using training data from input data i.e. text, video etc. (the latter is also called Test Time Training or TTT) (in late 2024 such agentic workflows is quickly becoming how all high end AI systems are build) the more inference compute you apply to this agentic workflow the more intelligent the generative results will be.</t>
  </si>
  <si>
    <t>Distributed training clusters</t>
  </si>
  <si>
    <t>Most likely a more energy efficient method for generating intelligence at a given level is to use many more but smaller and specialized AI models that are linked together in sophisticated agentic workflows. Say 100, 10 billion parameter models that combined have 1 trillion parameters. The alternative is to use  one huge 1 trillion parameter model that is trained on all the same data that the 100 smaller models are trained on. Problem with large models is that doing inference on a 1 trillion parameter model cost about 100 times more energy than doing inference on a 10 billion parameter model that might provide as intelligent an output as the large model if it get input data in an area that fits its specialization. We known from the human brain that when it is given a task or problem to do or solve only part of the brain is excited (do inference as seen by synapsis firing up in a brain scanner) that is relevant for task or problem in mind. The rest of the brain is dormant and thereby saves energy. Give the brain a new task and different parts of the brain will fire up/do inference. Same can be done by systems of AI models by only activating the smaller and specialized AI models that are relevant for the task or problem in mind thereby avoiding to use the much larger and more energy intense model.</t>
  </si>
  <si>
    <t xml:space="preserve">It is not as simple as it sounds by splitting up a large AI model into smaller specialized models. Larger models can do things that are impossible with smaller models because of emergent abilities that arise for larger models. So some type of data input say a text question about something complex can only be intelligently answered by a large model. </t>
  </si>
  <si>
    <t>In order to create conscious AGIs we need to design the AI systems like a human brain and have them operate like a human brain. The human brain is a cluster of specialized biological neural networks that work together and that is able to do inference and training simultaneously and uninterrupted on that cluster of networks and their interaction patterns whenever we are awake/conscious. We can make android brains the same way with an AI chip for training and inference and memory for storing the AI neural networks or AI models. Just like the human brain is constantly training and doing inference on its biological neural networks and their interactions the AI brain should be able to constantly do training and inference when it is turned on/awake. The input data for the android brain is its sensory inputs plus its own thoughts (i.e. one specialized AI model prompting another specialized AI model as specified by an agentic workflow that is modeled dynamically so that it can also be changed by the thought process) just like the input data for human brain is its sensory inputs through eyes, ears touch etc. plus its own thoughts about these sensory inputs.</t>
  </si>
  <si>
    <t>Elaborate explanation</t>
  </si>
  <si>
    <t>At 16,000GB/s a computer can read information for thinking, communicating and learning at least 400,000 times faster than a human and it can read a book almost 500 billion times faster than a human!!!!</t>
  </si>
  <si>
    <t>https://ourworldindata.org/grapher/artificial-intelligence-training-computation?time=2023-05-09..latest&amp;country=GPT~Llama+3.1-405B~Grok-2</t>
  </si>
  <si>
    <t>https://ourworldindata.org/grapher/artificial-intelligence-training-computation?time=2018-03-27..latest&amp;country=GPT~Claude+3.5+Sonnet~Claude+3+Opus</t>
  </si>
  <si>
    <t>https://aiexpjourney.substack.com/p/the-number-of-parameters-of-gpt-4o</t>
  </si>
  <si>
    <t>https://www.walturn.com/insights/comparing-gpt-4o-llama-3-1-and-claude-3-5-sonnet</t>
  </si>
  <si>
    <t>https://en.wikipedia.org/wiki/Claude_(language_model)#Claude_3.5</t>
  </si>
  <si>
    <t>Mar, 2023</t>
  </si>
  <si>
    <t>https://ourworldindata.org/grapher/artificial-intelligence-training-computation?time=2018-03-27..latest&amp;country=GPT~Claude+3.5+Sonnet~Claude+3+Opus~Claude+2</t>
  </si>
  <si>
    <t>Claude 2 by Anthropic</t>
  </si>
  <si>
    <t>Jul, 2023</t>
  </si>
  <si>
    <t>https://en.wikipedia.org/wiki/Claude_(language_model)#Claude_2</t>
  </si>
  <si>
    <t>https://textcortex.com/post/claude-2-parameters?utm_source=chatgpt.com</t>
  </si>
  <si>
    <t>training compute 10,000 H100 running for 3 months on 20 million hours of video</t>
  </si>
  <si>
    <t>&gt;&gt;16,000</t>
  </si>
  <si>
    <t>&gt;200,000,000</t>
  </si>
  <si>
    <t>see https://youtu.be/1WOjjgyZPj8?si=f4KA-OE7e2eDaO-h&amp;t=4440  also this is a mixture of expert model that will have more lines of code a set for each expert</t>
  </si>
  <si>
    <t>https://www.youtube.com/watch?v=1WOjjgyZPj8&amp;t=4440s</t>
  </si>
  <si>
    <t>Max doomer. He thinks it is certain AGI will kill all humans.</t>
  </si>
  <si>
    <t>https://youtu.be/xW0xjAMD60c?si=BYU-FPlWr9vOTG_U&amp;t=1059</t>
  </si>
  <si>
    <t>https://youtu.be/xW0xjAMD60c?si=YgNJPN1UGHeZCJoe&amp;t=1088</t>
  </si>
  <si>
    <t>https://youtu.be/xW0xjAMD60c?si=ZXj-Rllql-r5a2nq&amp;t=1114</t>
  </si>
  <si>
    <t>AGI is a system able to do whatever an average human can do.</t>
  </si>
  <si>
    <t>6000-10000?</t>
  </si>
  <si>
    <t>https://www.theverge.com/2024/12/5/24314147/openai-reasoning-model-o1-strawberry-chatgpt-pro-new-tier</t>
  </si>
  <si>
    <t>GPT-4 variant</t>
  </si>
  <si>
    <t>Multi-modal</t>
  </si>
  <si>
    <t>Images processing</t>
  </si>
  <si>
    <t>Nvidia GTX 580</t>
  </si>
  <si>
    <t>Nvidia V100</t>
  </si>
  <si>
    <t>and description</t>
  </si>
  <si>
    <t>Main use and</t>
  </si>
  <si>
    <t>Nvidia A100</t>
  </si>
  <si>
    <t>My guess</t>
  </si>
  <si>
    <t>By 2023 the world has changed to using the A100</t>
  </si>
  <si>
    <t>By 2023 the world has changed to using the A101</t>
  </si>
  <si>
    <t>By 2024 the world has changed to using the H100</t>
  </si>
  <si>
    <t xml:space="preserve">By 2024 the world has changed to using the H100 </t>
  </si>
  <si>
    <t>brain</t>
  </si>
  <si>
    <t>TPU v4i</t>
  </si>
  <si>
    <t>Go game playing</t>
  </si>
  <si>
    <t>Speech to text &amp; translation</t>
  </si>
  <si>
    <t>Google use their own chips for inference</t>
  </si>
  <si>
    <t>OpenAI in 2022 used Nvidia V100</t>
  </si>
  <si>
    <t>Tesla HW4/AI4</t>
  </si>
  <si>
    <t>AI self driving cars robots</t>
  </si>
  <si>
    <t>Waymo driver by Google</t>
  </si>
  <si>
    <t>https://en.wikipedia.org/wiki/AlexNet</t>
  </si>
  <si>
    <t xml:space="preserve">LLM text to text, </t>
  </si>
  <si>
    <t>TPU, v4i</t>
  </si>
  <si>
    <t>LLM text to text image</t>
  </si>
  <si>
    <t>https://semianalysis.com/2024/09/04/multi-datacenter-training-openais/?utm_source=chatgpt.com</t>
  </si>
  <si>
    <t>AI androids in 2024 only do inference. Human brains are always on doing inference and traning in parallel and we need the same thing to be possible for AGI level humanoids.</t>
  </si>
  <si>
    <t>AI training clusters are quickly reaching the limit for how much compute you can concentrate in one location because of power and cooling needs that exceeds 1G watt. So solution is to distribute the training load of new foundation models to multiple datacenters located wherever enough power is available at affordable prices per kWh.</t>
  </si>
  <si>
    <t>https://en.wikipedia.org/wiki/Yoshua_Bengio</t>
  </si>
  <si>
    <t>problem</t>
  </si>
  <si>
    <t>https://youtu.be/G1ARvwQntAU?si=seoLq5Lvy4UF4Zny&amp;t=2209</t>
  </si>
  <si>
    <t>He believe we are alone in the observable universe. No evidence of other technological civilizations. He argues we have likely passed some great filters making it incredibly unlikely evolution lead to technological civilizations and that is the reason no one else can be seen.</t>
  </si>
  <si>
    <t>I like Tegmark very much especially the older Tegmark that was optimistic about the emerging life 3.0 aka AGI humanoids. Now he want to ban it entirely. I don’t like that at all. At the very least we should allow life 3.0 to develop outside of the Earth because it would not bother any humans and life 3.0 has a much better chance of colonizing the universe than any biological species has as we are simply too fragile and short lived to survive outside of Earth IMO. Also I question Tegmark's optimistic belief that humans will keep solving our internal problems so we do not end up in wars that will end our civilization. I think AGIs will do a much better job than humans at preventing catastrophic war on Earth and therefore they should play a big role in what happens on Earth. They should not be banned on Earth. On the other hand, I also do not like the idea that AGI humanoids have taken over everything that matters on Earth including the entire economy and humans are reduced to being pets of the AGIs. Perhaps we should create societies where humans are still responsible for the economy and all production but we let the AGIs take control of the military in every country so that no country will be able to go to war with another country because they do not have an army and they will be stopped immediately by the AGIs if attempting to build an army.</t>
  </si>
  <si>
    <t xml:space="preserve">Problem is that very intelligent beings might be either good or evil. Suggest a solution to alignment problem could be to teach AGIs to be scientists seeking the truth and be humble. He thinks AGIs should be programmed to not have any goals. He thinks giving AI agency is dangerous and will end up with humanity losing control. </t>
  </si>
  <si>
    <t>https://youtu.be/G1ARvwQntAU?si=Qiu3WLHBJ-Ha3TAb&amp;t=2793</t>
  </si>
  <si>
    <t>2027-2047</t>
  </si>
  <si>
    <t>Max doomer</t>
  </si>
  <si>
    <t>80 years</t>
  </si>
  <si>
    <r>
      <t>Nvidia B200 Blackwell</t>
    </r>
    <r>
      <rPr>
        <sz val="11"/>
        <color theme="1"/>
        <rFont val="Calibri"/>
        <family val="2"/>
        <scheme val="minor"/>
      </rPr>
      <t>, liquid cooled</t>
    </r>
  </si>
  <si>
    <t>Nvidia ?</t>
  </si>
  <si>
    <t>&gt;16,000</t>
  </si>
  <si>
    <t>&gt;3</t>
  </si>
  <si>
    <t>obvious</t>
  </si>
  <si>
    <t>If China has not invaded Taiwan</t>
  </si>
  <si>
    <t>Multi</t>
  </si>
  <si>
    <t>Optical,1nm</t>
  </si>
  <si>
    <t>https://youtu.be/b_DUft-BdIE?si=OOYznBPY90xi7tH2&amp;t=2749</t>
  </si>
  <si>
    <t>Not convinced they are positively correlated or correlated at all. His main argument is that it is not difficult to find highly intelligent people that have average or below average morality. He mentions Elon Musk as an example in mind.</t>
  </si>
  <si>
    <t>A</t>
  </si>
  <si>
    <t>B</t>
  </si>
  <si>
    <t>1 brain is GB RAM</t>
  </si>
  <si>
    <t>Future AI supercomputers (SC) by year operational and their compute power to human compute power - Only one SC</t>
  </si>
  <si>
    <t xml:space="preserve">Key AI models/systems compared to biological brains </t>
  </si>
  <si>
    <t>Days to years. Take about 24 years to make a PhD level human from birth. Memory bandwidth at most 0.04 GB/s</t>
  </si>
  <si>
    <t>Senses</t>
  </si>
  <si>
    <t>https://aistudio.google.com/prompts/new_chat</t>
  </si>
  <si>
    <t>Likely not</t>
  </si>
  <si>
    <t>Nvidia B100</t>
  </si>
  <si>
    <t>GPT stands for Generative Pre-trained Transformer</t>
  </si>
  <si>
    <t>Scaling law 2 - More and higher quality data used for training (aka parameter calculations) makes the AI model more intelligent. The size of training databases for AI models started to surpass that of adult humans likely in 2022 with FSD AI by Tesla and in 2024 with Cosmos from Nvidia.</t>
  </si>
  <si>
    <t>Scaling law 3 - More compute for training produces better estimated AI parameters and makes the AI model more intelligent. AI models are trained with more training compute than adult humans starting GPT-4 in 2023.</t>
  </si>
  <si>
    <t>Scaling law 1 - More parameters and layers in AI models makes the AI model more intelligent</t>
  </si>
  <si>
    <t>Scaling law 2 - More and higher quality data used for training (aka parameter calculations) makes the AI model more intelligent</t>
  </si>
  <si>
    <t>Scaling law 3 - More compute for training produces better estimated AI parameters and makes the AI model more intelligent</t>
  </si>
  <si>
    <t>PaLM 540B by Google</t>
  </si>
  <si>
    <t>Grok 1 by xAI</t>
  </si>
  <si>
    <t>Grok 3 by xAI</t>
  </si>
  <si>
    <t>AI model/system</t>
  </si>
  <si>
    <t>World foundation model - input tokens text voice and video &amp; output realistic videos of the world that can be used as training data input for other AI models that train on real world and simulated world data to learn how to drive a car or control a humanoid robot</t>
  </si>
  <si>
    <t>Taiwan?</t>
  </si>
  <si>
    <t>assuming price is same as Nvidia A100 I have not been able to find source with actual price as it is no longer sold but same die size as Nvidia A100</t>
  </si>
  <si>
    <t>Year Raymond Kurzweil predict first AGI to appear</t>
  </si>
  <si>
    <t>More dies likely</t>
  </si>
  <si>
    <t>My best guess is same memory as Nvidia GB10 so GDDR5x</t>
  </si>
  <si>
    <t>most lily same as 8GB Nano</t>
  </si>
  <si>
    <t>Likely max supercomputer in 2045</t>
  </si>
  <si>
    <t>For ASI training and inference</t>
  </si>
  <si>
    <t xml:space="preserve">I like him and the way he reason. He is more on the left side of politics than myself but that is not something I care much about when I judge another person. I think he has good ethics. </t>
  </si>
  <si>
    <t>Ability to feel anger</t>
  </si>
  <si>
    <t>Ability to feel jealousy</t>
  </si>
  <si>
    <t>Ability to feel envy</t>
  </si>
  <si>
    <t>Ability to feel greed</t>
  </si>
  <si>
    <t>Ability to feel grief</t>
  </si>
  <si>
    <t>Ability to feel happy</t>
  </si>
  <si>
    <t>Ability to feel depressed</t>
  </si>
  <si>
    <t>Ability to feel sexual satisfaction</t>
  </si>
  <si>
    <t>Ability to feel joy</t>
  </si>
  <si>
    <t>Ability to feel love for other beings</t>
  </si>
  <si>
    <t>Ability to feel hate for other beings</t>
  </si>
  <si>
    <t>From days to 1000s of years</t>
  </si>
  <si>
    <t>Life 2.5</t>
  </si>
  <si>
    <t>Life 3.0</t>
  </si>
  <si>
    <t>Life 1.0</t>
  </si>
  <si>
    <t>Life 2.0</t>
  </si>
  <si>
    <t>Ability to research and writhe papers for journals</t>
  </si>
  <si>
    <t>No, cant learn while alive. Adapt to changes in environment through Darwinian evolution</t>
  </si>
  <si>
    <t>From 0 to about 2 (e.g. nutrition or light detection)</t>
  </si>
  <si>
    <t>Yes, a cat that is strongly bonded to a human can be hostile towards partner of that human</t>
  </si>
  <si>
    <t>Yes, cats can be in an angry mood</t>
  </si>
  <si>
    <t>Yes give one cat a good treat and another car that sees this a crappy treat and it will get very upset</t>
  </si>
  <si>
    <t>Probably not</t>
  </si>
  <si>
    <t>300,000BC</t>
  </si>
  <si>
    <t>2,000,000BC</t>
  </si>
  <si>
    <t>2,500,000BC</t>
  </si>
  <si>
    <t>12,000,000BC</t>
  </si>
  <si>
    <t>14,000,000BC</t>
  </si>
  <si>
    <t>4,000,000BC</t>
  </si>
  <si>
    <t>40,000,000BC</t>
  </si>
  <si>
    <t>Best guess HM</t>
  </si>
  <si>
    <t>225 million years ago</t>
  </si>
  <si>
    <t>https://en.wikipedia.org/wiki/Mammal#Origins</t>
  </si>
  <si>
    <t>3.7 billion years ago</t>
  </si>
  <si>
    <t>https://en.wikipedia.org/wiki/History_of_life</t>
  </si>
  <si>
    <t>https://docsbot.ai/models/deepseek-r1</t>
  </si>
  <si>
    <t>Multi-modal, text, images, audio</t>
  </si>
  <si>
    <t>https://dataloop.ai/library/model/nvidia_nemotron-4-340b-base/</t>
  </si>
  <si>
    <t>https://apidog.com/blog/deepseek-r1-review-api/#model-specifications</t>
  </si>
  <si>
    <t>Was trained on 2.664 million H800 GPU hours and H800 is 3036Tpflops see https://apidog.com/blog/deepseek-r1-review-api/#model-specifications</t>
  </si>
  <si>
    <t>Nvidia Cosmos AI/human brain</t>
  </si>
  <si>
    <t>I like him. He is not hyping AI and appears very realistic about AGI. He knows a lot about where AI models still do not perform well.</t>
  </si>
  <si>
    <t>https://youtu.be/JAgHUDhaTU0?si=jkZbcpHlpU81e9J7&amp;t=4452</t>
  </si>
  <si>
    <t>https://youtu.be/JAgHUDhaTU0?si=JBL9lFq27ljo4qVm&amp;t=4520</t>
  </si>
  <si>
    <t>$65,000 year</t>
  </si>
  <si>
    <t>billion neurons for short-finned pilot whale</t>
  </si>
  <si>
    <t>https://en.wikipedia.org/wiki/List_of_animals_by_number_of_neurons#Whole_nervous_system</t>
  </si>
  <si>
    <t>billion neurons for long-finned pilot whale (forebrain only)</t>
  </si>
  <si>
    <t>African elephant forebrain only 6.5% of human brain</t>
  </si>
  <si>
    <t>Long-finned pilot whale forebrain only 43% of human brain</t>
  </si>
  <si>
    <t>about 700,000</t>
  </si>
  <si>
    <t>https://marinemammalscience.org/facts/globicephala-macrorhynchus/</t>
  </si>
  <si>
    <t>17,500BC</t>
  </si>
  <si>
    <t>synapsis total</t>
  </si>
  <si>
    <t>parameters/synapsis</t>
  </si>
  <si>
    <t>Discovered 1900</t>
  </si>
  <si>
    <t>https://en.wikipedia.org/wiki/Caenorhabditis_elegans</t>
  </si>
  <si>
    <t>I imagine roundworm only have reflexes not any thought and awareness</t>
  </si>
  <si>
    <t>https://www.wormatlas.org/aging/introduction/mainframe.htm</t>
  </si>
  <si>
    <t>0.3yr life experience</t>
  </si>
  <si>
    <t>11.2yr life experience</t>
  </si>
  <si>
    <t>0.01yr life experience</t>
  </si>
  <si>
    <t>0.02yr life experience</t>
  </si>
  <si>
    <t xml:space="preserve">Fruit fly is the most complex biological brain that we in 2024 has mapped completely with every neuron and synapsis and that we can simulate in a computer. </t>
  </si>
  <si>
    <t>The first biological brain ever mapped was nematode worm with only 302 neurons see https://www.leeds.ac.uk/news-science/news/article/4775/mapping-the-brain-of-a-nematode-worm and https://www.youtube.com/watch?v=0AgAcarLnU4&amp;t=277s</t>
  </si>
  <si>
    <t>https://seaworld.org/animals/facts/mammals/short-finned-pilot-whale/</t>
  </si>
  <si>
    <t>12yr life experience</t>
  </si>
  <si>
    <t>https://en.wikipedia.org/wiki/Andrej_Karpathy</t>
  </si>
  <si>
    <t>https://x.com/karpathy/status/1882544526033924438</t>
  </si>
  <si>
    <t>He is very sympathetic and friendly. Knows a lot and is genuine curious.</t>
  </si>
  <si>
    <t>billion neurons in roundworm Caenorhabditis elegans</t>
  </si>
  <si>
    <t>https://en.wikipedia.org/wiki/Palmer_Luckey</t>
  </si>
  <si>
    <r>
      <t xml:space="preserve">Palmer Luckey, </t>
    </r>
    <r>
      <rPr>
        <sz val="11"/>
        <color theme="1"/>
        <rFont val="Calibri"/>
        <family val="2"/>
        <scheme val="minor"/>
      </rPr>
      <t>Founder and CEO of Anduril Industries</t>
    </r>
  </si>
  <si>
    <t>https://youtu.be/bq-kukOA4gQ?si=q-tPxgsSORk83fuW&amp;t=142</t>
  </si>
  <si>
    <t>https://en.wikipedia.org/wiki/Guillaume_Verdon</t>
  </si>
  <si>
    <t>20%. Agnostic will not set a probability</t>
  </si>
  <si>
    <t>https://youtu.be/G1ARvwQntAU?si=I4tL6k2XAp-LLZBl&amp;t=2726
https://pauseai.info/pdoom</t>
  </si>
  <si>
    <t xml:space="preserve">https://youtu.be/SEd3hzuJ-Wk?si=OZbQLYTgbgJRVnuc&amp;t=299
https://pauseai.info/pdoom
</t>
  </si>
  <si>
    <t>https://youtu.be/8fEEbKJoNbU?si=MSUnekR5OeuNFIaS&amp;t=3477</t>
  </si>
  <si>
    <t xml:space="preserve">Max optimist. Risk of doom is not zero. Biggest risk is concentration of AI intelligence in the hands of a few or single person or AI being. Power corrupt. Absolute power causes absolute corruption. </t>
  </si>
  <si>
    <t>https://youtu.be/8fEEbKJoNbU?si=SIyAQ2yuGJAWUSkP</t>
  </si>
  <si>
    <t>2023-</t>
  </si>
  <si>
    <t>https://mil.in.ua/en/news/the-u-s-demonstrated-the-combat-capabilities-of-altius-600-drones-to-be-received-by-ukraine/</t>
  </si>
  <si>
    <t>In development for use in war likely undergoing testing in Ukraine. All components are sourced from democratic countries</t>
  </si>
  <si>
    <t>Biden administration has prohibited Anduril from selling its AI drones in Ukraine see https://youtu.be/soRPRHypThI?si=575C3s4wGLjKZqKX&amp;t=75</t>
  </si>
  <si>
    <t>ZALA Lancet war drone by Kalashnikov</t>
  </si>
  <si>
    <t>2019-2025</t>
  </si>
  <si>
    <t>AI drone targeting</t>
  </si>
  <si>
    <t>Used against Ukraine by Russia</t>
  </si>
  <si>
    <t>Nvidia Jetson TX2</t>
  </si>
  <si>
    <t>https://isis-online.org/isis-reports/detail/russian-lancet-3-kamikaze-drone-filled-with-foreign-parts</t>
  </si>
  <si>
    <t>https://en.wikipedia.org/wiki/ZALA_Lancet</t>
  </si>
  <si>
    <t>https://nvidianews.nvidia.com/news/nvidia-jetson-tx2-enables-ai-at-the-edge</t>
  </si>
  <si>
    <t>most likely for 2017 chips</t>
  </si>
  <si>
    <t>https://www.nvidia.com/en-us/autonomous-machines/embedded-systems/jetson-tx2/</t>
  </si>
  <si>
    <t>Used in Russian Lancet war drone</t>
  </si>
  <si>
    <t>Nvidia Jetson Orin AGX 32GB</t>
  </si>
  <si>
    <t>Nvidia Jetson Orin 64GB</t>
  </si>
  <si>
    <r>
      <t xml:space="preserve">Nvidia Jetson TX2 </t>
    </r>
    <r>
      <rPr>
        <sz val="11"/>
        <color theme="1"/>
        <rFont val="Calibri"/>
        <family val="2"/>
        <scheme val="minor"/>
      </rPr>
      <t>mini pc with limitted AI capability similar to Raspberry Pi5</t>
    </r>
  </si>
  <si>
    <t>Jun, 2020</t>
  </si>
  <si>
    <t>https://youtu.be/soRPRHypThI?si=QjSNtGJvjjn9Vb4G&amp;t=272</t>
  </si>
  <si>
    <t>AI drone navigation see https://www.youtube.com/watch?v=Ha0KrXzI4SM&amp;t=30s and AI targeting</t>
  </si>
  <si>
    <t>Nvidia H800</t>
  </si>
  <si>
    <t>https://youtu.be/UZDiGooFs54?si=KGloKwOuX9n-CNdZ&amp;t=1013
https://ourworldindata.org/grapher/artificial-intelligence-training-computation?country=GPT~GPT-3+175B+%28davinci0~GPT-4</t>
  </si>
  <si>
    <t>https://www.ri.se/en/news/blog/generative-ai-does-not-run-on-thin-air</t>
  </si>
  <si>
    <t>https://techcrunch.com/2024/12/26/deepseeks-new-ai-model-appears-to-be-one-of-the-best-open-challengers-yet/</t>
  </si>
  <si>
    <t>https://lenovopress.lenovo.com/lp1814-thinksystem-nvidia-h800-pcie-gen5-gpu</t>
  </si>
  <si>
    <t>https://technical.city/en/video/H800-SXM5</t>
  </si>
  <si>
    <t>https://www.router-switch.com/nvidia-h800-80g.html</t>
  </si>
  <si>
    <t>Nvidia H800 PCIe adapter made for China later banned see https://www.cimphony.ai/insights/us-ai-chip-export-restrictions-impact-on-nvidia-amd</t>
  </si>
  <si>
    <t>2.664 million training hours on H800 that cost the same as H100 see https://apidog.com/blog/deepseek-r1-review-api/#model-specifications</t>
  </si>
  <si>
    <t>https://www.hyperstack.cloud/gpu-pricing</t>
  </si>
  <si>
    <t>https://www.vincentschmalbach.com/deepseek-and-the-effects-of-gpu-export-controls/</t>
  </si>
  <si>
    <t>Deepseek v2 coder</t>
  </si>
  <si>
    <t>https://ourworldindata.org/grapher/artificial-intelligence-training-computation?country=GPT~GPT-3+175B+%28davinci0~DeepSeek-Coder-V2+236B</t>
  </si>
  <si>
    <t>https://arxiv.org/pdf/2406.11931</t>
  </si>
  <si>
    <t>Was trained on 2.788 million H800 GPU hours and H800 is 3036Tpflops see https://www.vincentschmalbach.com/deepseek-and-the-effects-of-gpu-export-controls/</t>
  </si>
  <si>
    <t>2.788 million training hours on H800 that cost the same as H100 see https://apidog.com/blog/deepseek-r1-review-api/#model-specifications</t>
  </si>
  <si>
    <t>https://arxiv.org/html/2412.19437v1</t>
  </si>
  <si>
    <t>https://youtu.be/1WOjjgyZPj8?si=f4KA-OE7e2eDaO-h&amp;t=4441</t>
  </si>
  <si>
    <t>https://youtu.be/1WOjjgyZPj8?si=f4KA-OE7e2eDaO-h&amp;t=4442</t>
  </si>
  <si>
    <t>https://arxiv.org/html/2406.11931v1</t>
  </si>
  <si>
    <t>https://didyouknowbg8.wordpress.com/2024/06/17/deepseek-coder-v2-a-powerful-and-permissive-open-source-model-for-code/</t>
  </si>
  <si>
    <t>https://meetcody.ai/blog/deepseek-r1-open-source-installation-features-pricing/</t>
  </si>
  <si>
    <t>Interesting graph on body weight and brain weight for different species</t>
  </si>
  <si>
    <t>https://youtu.be/1yvBqasHLZs?si=AiZeLs7vZjEiL20I&amp;t=735</t>
  </si>
  <si>
    <t>https://www.flybyrobotics.com/documents/Flyby_F-11.pdf</t>
  </si>
  <si>
    <t>LLM, mixture-of-experts</t>
  </si>
  <si>
    <t>Dedicated coder-LLM, mixture-of-experts</t>
  </si>
  <si>
    <t>256 expert models of which 8 are activated at any given time. This selective activation allows DeepSeek-V3 to efficiently use its 671 billion total parameters, with only 37 billion parameters activated per token during inference.</t>
  </si>
  <si>
    <t>Free at Groq and Perplexity</t>
  </si>
  <si>
    <t>https://aws.amazon.com/blogs/machine-learning/deploy-deepseek-r1-distilled-llama-models-in-amazon-bedrock/</t>
  </si>
  <si>
    <t>https://artificialanalysis.ai/models/deepseek-r1-distill-llama-70b</t>
  </si>
  <si>
    <t xml:space="preserve">o1 mini by OpenAI </t>
  </si>
  <si>
    <t>free with daily limit</t>
  </si>
  <si>
    <t>Jul, 2024</t>
  </si>
  <si>
    <t xml:space="preserve">Multi-modal. </t>
  </si>
  <si>
    <t>https://www.theregister.com/2024/07/19/openaigpt4o_mini/</t>
  </si>
  <si>
    <t>https://www.reddit.com/r/LocalLLaMA/comments/1ebz4rt/gpt_4o_mini_size_about_8b/</t>
  </si>
  <si>
    <t>$10/Dec, 2024</t>
  </si>
  <si>
    <t>https://www.testingcatalog.com/grok-ai-slashes-api-costs-boosts-instruction-following-with-grok-2-1212/</t>
  </si>
  <si>
    <t>https://en.wikipedia.org/wiki/OpenAI_o1#Release</t>
  </si>
  <si>
    <t>https://www.hashtechwave.com/openai-upgrades-explained-o1-preview-o1-mini/</t>
  </si>
  <si>
    <t>https://platform.openai.com/docs/models/o1</t>
  </si>
  <si>
    <t>https://platform.openai.com/docs/pricing</t>
  </si>
  <si>
    <t>https://artificialanalysis.ai/models/deepseek-r1</t>
  </si>
  <si>
    <t>https://docsbot.ai/models/deepseek-v3</t>
  </si>
  <si>
    <t>$0.28/Jan, 2025</t>
  </si>
  <si>
    <r>
      <t xml:space="preserve">Grok 2 by xAI, </t>
    </r>
    <r>
      <rPr>
        <sz val="11"/>
        <color theme="1"/>
        <rFont val="Calibri"/>
        <family val="2"/>
        <scheme val="minor"/>
      </rPr>
      <t>LLM image generation, similar to GPT-4o</t>
    </r>
  </si>
  <si>
    <t>https://groq.com/pricing/</t>
  </si>
  <si>
    <t>$0.79/Jan, 2025</t>
  </si>
  <si>
    <t>$0.99/Jan 2025</t>
  </si>
  <si>
    <t>https://groq.com/new-ai-inference-speed-benchmark-for-llama-3-3-70b-powered-by-groq/</t>
  </si>
  <si>
    <t>https://huggingface.co/meta-llama/Llama-3.3-70B-Instruct</t>
  </si>
  <si>
    <t>$15/Jan, 2025</t>
  </si>
  <si>
    <t>https://www.anthropic.com/news/claude-3-5-sonnet</t>
  </si>
  <si>
    <t>Free</t>
  </si>
  <si>
    <t>https://ai.google.dev/pricing#1_5pro</t>
  </si>
  <si>
    <r>
      <t xml:space="preserve">Gemini 1.5 Pro by Google </t>
    </r>
    <r>
      <rPr>
        <sz val="11"/>
        <color theme="1"/>
        <rFont val="Calibri"/>
        <family val="2"/>
        <scheme val="minor"/>
      </rPr>
      <t>not quite as good as GPT-4o</t>
    </r>
    <r>
      <rPr>
        <b/>
        <sz val="11"/>
        <color theme="1"/>
        <rFont val="Calibri"/>
        <family val="2"/>
        <scheme val="minor"/>
      </rPr>
      <t xml:space="preserve"> see https://www.anthropic.com/news/claude-3-5-sonnet</t>
    </r>
  </si>
  <si>
    <t>https://www.flightglobal.com/military-uavs/anduril-unveils-rugged-ghost-4-recon-uav-with-radio-silent-autonomous-ops/140126.article</t>
  </si>
  <si>
    <t>AI drone navigation and Lattice AI to detect, track, and classify every object of interest in an operator's vicinity see https://www.anduril.com/command-and-control/ Anduril do not build foundational AI models for object recognition or tracking or homing but instead use open source models they adapt to their needs see https://youtu.be/5gd4WiER8o0?si=T2W0tGLeJB_eGRYX&amp;t=2097</t>
  </si>
  <si>
    <t>F-11 surveillance drone by Palantir and Flyby Robotics</t>
  </si>
  <si>
    <t>Ghost surveillance drones by Anduril Industries powered by Lattice AI https://youtu.be/soRPRHypThI?si=QjSNtGJvjjn9Vb4G&amp;t=272</t>
  </si>
  <si>
    <t>Open source on GitHub</t>
  </si>
  <si>
    <t>12M hours voice.</t>
  </si>
  <si>
    <t>680k hours voice.</t>
  </si>
  <si>
    <t>Human forebrain is 20% of all brain by neuron count. To get to parameter count we also need to multiply with average synapsis in forebrain and I could not find that number so just assumed it is the same as average brain at 3000 which may be a wrong number and also dependent on age of human</t>
  </si>
  <si>
    <t>Not made yet. I expect that when we get AGI figured out the market for personal home based AGI capable computers will explode and if AGI is possible in 2029 this computer will sell for significantly less than 465,000 USD because of Moore's law. For this to be much cheaper it is especially the cost of RAM chip that need to drop as that is 400,000 USD of the full price.</t>
  </si>
  <si>
    <t># of years of non-stop video if average YouTube video is 10 minutes long</t>
  </si>
  <si>
    <t>Distilled from GPT-4 so same database size</t>
  </si>
  <si>
    <t xml:space="preserve">YouTube is in 2024 over 1 billion GB of video. By 2029 it should have at least tripled and OpenAI could also train their model on other video sources say video gathered by autonomous vehicles and humanoids as well as other social media with video. So over 7 billion GB is a realistic guess. </t>
  </si>
  <si>
    <t>my speculation, 2029 coincides with Raymond Kurzweil prediction of when we will get AGI</t>
  </si>
  <si>
    <t>I could not find a direct link for this but most likely it is 2000 H800 as used for deep seek v3 that is just a few more months older</t>
  </si>
  <si>
    <t>same as OpenAI o1 because same type of model architecture</t>
  </si>
  <si>
    <t>Deep seek is open source just like Meta</t>
  </si>
  <si>
    <t>I guess 1 chip to keep cost down. But in automotive applications 2 chips may be used for redundancy added safety</t>
  </si>
  <si>
    <t>I imagine fruit flies only have reflexes not any thought and awareness</t>
  </si>
  <si>
    <t>Exaflops</t>
  </si>
  <si>
    <t>LLM text to text. Compared to GPT-3 it is mostly the same system but with improvements made in training data quality and higher training compute and other modest architectural improvements like fine tuning with better reinforced learning from human feedback</t>
  </si>
  <si>
    <r>
      <t>GPT-3.5-turbo by OpenAI,</t>
    </r>
    <r>
      <rPr>
        <sz val="11"/>
        <color theme="1"/>
        <rFont val="Calibri"/>
        <family val="2"/>
        <scheme val="minor"/>
      </rPr>
      <t xml:space="preserve"> distilled GPT-3</t>
    </r>
    <r>
      <rPr>
        <b/>
        <sz val="11"/>
        <color theme="1"/>
        <rFont val="Calibri"/>
        <family val="2"/>
        <scheme val="minor"/>
      </rPr>
      <t>.5</t>
    </r>
  </si>
  <si>
    <t>LLM text to text, distilled version of GPT-3.5</t>
  </si>
  <si>
    <r>
      <t xml:space="preserve">GPT-4o by OpenAI, </t>
    </r>
    <r>
      <rPr>
        <sz val="11"/>
        <color theme="1"/>
        <rFont val="Calibri"/>
        <family val="2"/>
        <scheme val="minor"/>
      </rPr>
      <t>distilled GPT-4 + other stuff</t>
    </r>
  </si>
  <si>
    <t>Multi-modal. Distilled version of GPT-4. 4o likely stands for optimized GPT-4</t>
  </si>
  <si>
    <r>
      <t xml:space="preserve">GPT-4o mini, </t>
    </r>
    <r>
      <rPr>
        <sz val="11"/>
        <color theme="1"/>
        <rFont val="Calibri"/>
        <family val="2"/>
        <scheme val="minor"/>
      </rPr>
      <t>distilled GPT-4o + other stuff</t>
    </r>
  </si>
  <si>
    <t>Multi-modal, can now reason towards final answer using a non-public agentic framework of interactions between specialized AI models and tools (like Wolfram Mathematica, Google Earth etc.)</t>
  </si>
  <si>
    <t>LLM, mixture-of-experts, can now reason towards final answer using a non-public agentic framework of interactions between specialized AI models and tools (like Wolfram Mathematica, Google Earth etc.). Because of reasoning steps during inference each input tokens cost 4 times more than v3 and output tokens cost 8 times more.</t>
  </si>
  <si>
    <t>$3.25/jam, 2025</t>
  </si>
  <si>
    <t>Image classification</t>
  </si>
  <si>
    <r>
      <t xml:space="preserve">Claude 3.5 Sonnet, distilled version of Opus, </t>
    </r>
    <r>
      <rPr>
        <sz val="11"/>
        <color theme="1"/>
        <rFont val="Calibri"/>
        <family val="2"/>
        <scheme val="minor"/>
      </rPr>
      <t>perform as GPT-4o</t>
    </r>
    <r>
      <rPr>
        <b/>
        <sz val="11"/>
        <color theme="1"/>
        <rFont val="Calibri"/>
        <family val="2"/>
        <scheme val="minor"/>
      </rPr>
      <t xml:space="preserve"> see https://www.anthropic.com/news/claude-3-5-sonnet</t>
    </r>
  </si>
  <si>
    <t>DeepSeek v3 by DeepSeek China, mixture-of-experts, comparable to GPT-4o and Llama 3.1 405B</t>
  </si>
  <si>
    <t xml:space="preserve">DeepSeek R1 by DeepSeek China, mixture-of-experts, reasoning system based on V3 perform as good as OpenAI o1. </t>
  </si>
  <si>
    <t xml:space="preserve">DeepSeek R1-destill-Llama-70B by DeepSeek China comparable to OpenAI's o1-mini </t>
  </si>
  <si>
    <t>Distilled version of DeepSeek R1 based on the efficient architecture of Llama 3.3 70B</t>
  </si>
  <si>
    <t>The 4 things that makes DeepSeek v3, R1 far more compute efficient at inference time than the competition see https://youtu.be/iNIp6AzUV8U?si=Ulg6Pmi-vA3oLv76&amp;t=126</t>
  </si>
  <si>
    <t>Nvidia Jetson Orin AGX 32GB, HM's source from sep2020 said Ghost at that time used Nvidia AI chip for autos with 32TFLOPS see https://www.flightglobal.com/military-uavs/anduril-unveils-rugged-ghost-4-recon-uav-with-radio-silent-autonomous-ops/140126.article I have updated that to Nvidia AGX32GB with 200 TFLOPS because that is surely what Anduril will do today in 2025.</t>
  </si>
  <si>
    <r>
      <rPr>
        <b/>
        <sz val="11"/>
        <color theme="1"/>
        <rFont val="Calibri"/>
        <family val="2"/>
        <scheme val="minor"/>
      </rPr>
      <t>HX-2 AI strike drone by Helsing</t>
    </r>
    <r>
      <rPr>
        <sz val="11"/>
        <color theme="1"/>
        <rFont val="Calibri"/>
        <family val="2"/>
        <scheme val="minor"/>
      </rPr>
      <t xml:space="preserve"> a German company. Nickname "mini Taurus"</t>
    </r>
  </si>
  <si>
    <t>In production 1000 per month in Jan 2025 and 10k per months later on.</t>
  </si>
  <si>
    <t>https://helsing.ai/newsroom/helsing-unveils-intelligent-strike-drone-for-mass-and-precision</t>
  </si>
  <si>
    <t>https://www.defensemirror.com/news/38298/Germany___s_Helsing_Produces_AI_Powered_HX_2_Drones_for_Ukraine#:~:text=These%20drones%2C%20each%20of%20which%20weighs%2012%20kg%2C,expected%20to%20scale%20to%2010%2C000%20units%20per%20month.</t>
  </si>
  <si>
    <t>My guess because this is the obvious choice</t>
  </si>
  <si>
    <t>Suicide drone with 1) AI map navigation (so GPS not needed and jamming and spoofing impossible), 2) AI target detection and identification (so human FPV operater not needed) and 3) AI target homing (so human FPV operater not needed and jamming impossible)</t>
  </si>
  <si>
    <t>https://youtu.be/XxtvQyy7gtE?si=MIVv01wALn6fnlL9&amp;t=2481</t>
  </si>
  <si>
    <t>https://youtu.be/Gb4CTesCnk4?si=ukAmb87_NOlO-Fmv&amp;t=2</t>
  </si>
  <si>
    <t>https://youtu.be/odGZUqIuu3o?si=bOTG-8QCCn8Qt1Ez</t>
  </si>
  <si>
    <t>https://build.nvidia.com/meta/llama-3_3-70b-instruct/modelcard</t>
  </si>
  <si>
    <t>Training utilized a cumulative of 39.3M GPU hours of computation on H100-80GB see https://build.nvidia.com/meta/llama-3_3-70b-instruct/modelcard</t>
  </si>
  <si>
    <r>
      <t xml:space="preserve">Llama 3.3 70B Instruct 128k, </t>
    </r>
    <r>
      <rPr>
        <sz val="11"/>
        <color theme="1"/>
        <rFont val="Calibri"/>
        <family val="2"/>
        <scheme val="minor"/>
      </rPr>
      <t>almost as good as GPT-4o mini</t>
    </r>
  </si>
  <si>
    <t>$5/Jan 2025</t>
  </si>
  <si>
    <t>Sonar-reasoning by Perplexity (based on DeepSeek R1 combined with Perplexity search and user interphase)</t>
  </si>
  <si>
    <t>https://openrouter.ai/perplexity/sonar-reasoning</t>
  </si>
  <si>
    <t>https://x.com/perplexity_ai/status/1884409454675759211</t>
  </si>
  <si>
    <t>https://codingmall.com/knowledge-base/25-global/240733-what-are-the-system-requirements-for-running-deepseek-models-locally</t>
  </si>
  <si>
    <t>https://codingmall.com/knowledge-base/25-global/240733-what-are-the-system-requirements-for-running-deepseek-models-locally (I divide by to to get RAM need for model run as FP8 as Deepseek say they do to get the cost down)</t>
  </si>
  <si>
    <t>GB RAM needed 16GB CPU and 8 GB GPU RAM (note I use this number for all vision models. This is a very crude approximation. It can differ a lot for different vision models and depending on the degree of quantization of the model parameters. The assumption is that FP16 bit quantization is used but trend is to go to 4 bit quantization for video models that run on mobile devices like vehicles, humanoids and war drones and missiles that need to be fast.)</t>
  </si>
  <si>
    <t>https://docs.api.nvidia.com/nim/reference/meta-llama-3_1-405b</t>
  </si>
  <si>
    <t>Text + images to text</t>
  </si>
  <si>
    <t>Public jan 2025</t>
  </si>
  <si>
    <t>partly free</t>
  </si>
  <si>
    <t>$10/Jan20, 2025</t>
  </si>
  <si>
    <t>$0.6/Jan20, 2025</t>
  </si>
  <si>
    <t>$60/Jan20, 2025</t>
  </si>
  <si>
    <t>$4.4/Jan31,2025</t>
  </si>
  <si>
    <t>https://openai.com/index/openai-o3-mini/</t>
  </si>
  <si>
    <r>
      <t xml:space="preserve">o3 mini (high) by OpenAI </t>
    </r>
    <r>
      <rPr>
        <sz val="11"/>
        <color theme="1"/>
        <rFont val="Calibri"/>
        <family val="2"/>
        <scheme val="minor"/>
      </rPr>
      <t>better than o1 regarding STEM</t>
    </r>
    <r>
      <rPr>
        <b/>
        <sz val="11"/>
        <color theme="1"/>
        <rFont val="Calibri"/>
        <family val="2"/>
        <scheme val="minor"/>
      </rPr>
      <t xml:space="preserve"> queries (great for RL optimization)</t>
    </r>
  </si>
  <si>
    <t>8 expert model with 2 active at any give time. So out of 314B parameters 86B are active.</t>
  </si>
  <si>
    <t>STEM stands for Science, Technology, Engineering, and Mathematics</t>
  </si>
  <si>
    <t>https://nebius.com/prices</t>
  </si>
  <si>
    <t>USD price for 1 H100 GPU hour</t>
  </si>
  <si>
    <t>This source by Thomson estimate Llama cost 125 million USD to train which is BS obviously https://x.com/HMexperienceDK/status/1847992543545331734</t>
  </si>
  <si>
    <t>Training used 1.02 million A100 GPU hours according to https://mattrickard.com/commoditization-of-large-language-models-part-3 I calculate cost of training using that and assuming the cost per hour was 2 USD back in 2023 for A100.</t>
  </si>
  <si>
    <t>Training used 1.7 million A100 GPU hours according to https://huggingface.co/meta-llama/Llama-2-70b I calculate cost of training using that and assuming the cost per hour was 2 USD back in 2023 for A100.</t>
  </si>
  <si>
    <t>https://youtu.be/rCwgAGG2sZQ?si=9NGz4Htm6nBiRBSY&amp;t=45</t>
  </si>
  <si>
    <t>https://platform.openai.com/docs/models#o3-mini</t>
  </si>
  <si>
    <r>
      <t>GPT-1 by OpenAI</t>
    </r>
    <r>
      <rPr>
        <sz val="11"/>
        <color theme="1"/>
        <rFont val="Calibri"/>
        <family val="2"/>
        <scheme val="minor"/>
      </rPr>
      <t xml:space="preserve"> see https://platform.openai.com/docs/models</t>
    </r>
  </si>
  <si>
    <t>Calculating training compute using 95 days of training with 25000, A100 as reported in this source and elsewhere see https://klu.ai/blog/gpt-4-llm</t>
  </si>
  <si>
    <t>USD price for 1 A100 GPU hour</t>
  </si>
  <si>
    <t>https://modal.com/blog/nvidia-a100-price-article</t>
  </si>
  <si>
    <t>FSD AI 1st gen by Tesla</t>
  </si>
  <si>
    <t>Oct, 2022</t>
  </si>
  <si>
    <t>Tesla HW3/AI3 &amp; HW4/AI4</t>
  </si>
  <si>
    <t>https://x.com/Tesla/status/1577073136847048704</t>
  </si>
  <si>
    <t>https://x.com/elonmusk/status/1807589935727493134?t=j29-asrZZ-gLHWrm1a3dlA&amp;s=19</t>
  </si>
  <si>
    <t>Late 2024</t>
  </si>
  <si>
    <t>All Tesla BEVs with HW3 and HW4</t>
  </si>
  <si>
    <t xml:space="preserve">All Tesla BEVs with HW4. Most likely HW3 will not be able to run 5B parameter model but might be possible is HW3 chip can use a quantized model instead where the accuracy of each parameter is reduced </t>
  </si>
  <si>
    <t>USD price for 1 GB200 per hour (contain 2 GPUs)</t>
  </si>
  <si>
    <t>My guess for the price when available later in 2025</t>
  </si>
  <si>
    <t>My guess for the price when available later in 2026</t>
  </si>
  <si>
    <t>USD price for Nvidia chipset anno 2029 per hour (contain 2 GPUs)</t>
  </si>
  <si>
    <t>16Years</t>
  </si>
  <si>
    <t>1 minute to boot from fully off</t>
  </si>
  <si>
    <t>Day to</t>
  </si>
  <si>
    <t>train</t>
  </si>
  <si>
    <t>model</t>
  </si>
  <si>
    <r>
      <t>Copilot by Microsoft</t>
    </r>
    <r>
      <rPr>
        <sz val="11"/>
        <color theme="1"/>
        <rFont val="Calibri"/>
        <family val="2"/>
        <scheme val="minor"/>
      </rPr>
      <t xml:space="preserve"> copy of GPT-4 initially</t>
    </r>
  </si>
  <si>
    <t xml:space="preserve">$4.4/jan312025, it what $12/Jan20, 2025 </t>
  </si>
  <si>
    <t>&gt;120</t>
  </si>
  <si>
    <t>My guess. 10 days is not too long and it should not be more because that will slow down development cycles and increase costs for new models. Note that final development run is most likely preceded by 10 to 50  failed runs that all test new idears that are not good enough or that completely fails to make progress. So total cost of model testiong is 10 to 50 times that of the final run.</t>
  </si>
  <si>
    <t>My cost of 21 million USD fit CEO of Antrophic saying "DeepSeek does not "do for $6M5 what cost US AI companies billions". I can only speak for Anthropic, but Claude 3.5 Sonnet is a mid-sized model that cost afew $10M's to train (I won't give an exact number). see https://darioamodei.com/on-deepseek-and-export-controls</t>
  </si>
  <si>
    <t>My guess based on this source https://officechai.com/ai/deepseek-is-marketed-as-cheap-but-likely-has-50000-h100s-anthropic-ceo-dario-amodei/ see also https://darioamodei.com/on-deepseek-and-export-controls</t>
  </si>
  <si>
    <t>My assumption. Much longer than 20 days is too long and too costly for quick development time.</t>
  </si>
  <si>
    <t>https://ourworldindata.org/grapher/artificial-intelligence-training-computation?country=GPT~Gemini+1.5+Pro</t>
  </si>
  <si>
    <t xml:space="preserve">Training used 1.02 million A100 GPU hours according to https://mattrickard.com/commoditization-of-large-language-models-part-3 </t>
  </si>
  <si>
    <t>Training used 1.7 million A100 GPU hours according to https://huggingface.co/meta-llama/Llama-2-70b</t>
  </si>
  <si>
    <t>https://adasci.org/nvidias-nemotron-4-340b-for-synthetic-data-generation/</t>
  </si>
  <si>
    <t>https://www.tesla.com/AI</t>
  </si>
  <si>
    <t>Feb, 2023</t>
  </si>
  <si>
    <t>Mar, 2022</t>
  </si>
  <si>
    <t>Nov, 2022</t>
  </si>
  <si>
    <t>www.chatgpt.com</t>
  </si>
  <si>
    <t>Live</t>
  </si>
  <si>
    <r>
      <t>ChatGPT,</t>
    </r>
    <r>
      <rPr>
        <sz val="11"/>
        <color theme="1"/>
        <rFont val="Calibri"/>
        <family val="2"/>
        <scheme val="minor"/>
      </rPr>
      <t xml:space="preserve"> user interphase or wrapper for OpenAI's AI models</t>
    </r>
  </si>
  <si>
    <t>Feb, 2019</t>
  </si>
  <si>
    <t>https://en.wikipedia.org/wiki/ChatGPT</t>
  </si>
  <si>
    <t>1260cm3</t>
  </si>
  <si>
    <t>Super computers used for inference of AI models i.e. running finished models</t>
  </si>
  <si>
    <t>full AI model or system of interacting AI models as in mixture-of-experts MoE AI models</t>
  </si>
  <si>
    <t>I assume the 5B parameter model for Tesla second generation FSD takes 5 times more compute to estimate than the 1B parameter first generation FSD model.</t>
  </si>
  <si>
    <t>At https://www.tesla.com/AI Tesla say "A full build of Autopilot neural networks involves 48 networks that take 70,000 GPU hours to train" I interpreat that as 70,000 GPU hours for each of the 48 networks so 3.36 million GPU hours. It has to be that way because the 50,000 H100 GPUs that Tesla is know to use for training will be a massive overkill if only 70,000 GPU hours are required as a full run in that case would take less than 90 minutes and cost about 140,000 USD. You dont invest in a 330 million USD supercomputer with 10k H100 to do that say once every second week for making final runs as well as the 10 times more numerous test runs for the full build of autopilot's neural networks. There is an old but still insightful thread on Reddit about FSD here https://www.reddit.com/r/teslamotors/comments/brn4y3/psa_fsd_does_not_use_deep_learning_for_reasoning/</t>
  </si>
  <si>
    <t>Likely minimum computer to run AGI</t>
  </si>
  <si>
    <t>100M game moves for reinforecement learning</t>
  </si>
  <si>
    <t>https://www.yuzeh.com/data/agz-cost.html</t>
  </si>
  <si>
    <t>Cost of training was only 20,000 USD with 35.4 million USD more spend on self-play or Reinforcement Learning generating the syntethic database that ai model was trained on. I have reported the cost of both training and RL. For facinating description of the cost see https://www.yuzeh.com/data/agz-cost.html</t>
  </si>
  <si>
    <t>Cost of training was only 20,000 USD with 35.4 million USD more spend on self-play or Reinforcement Learning generating the syntethic database that ai model was trained on. I have reported the cost of both training and RL. For facinating description of the cost see https://www.yuzeh.com/data/agz-cost.html
https://youtu.be/d6Ed5bZAtrM?si=M2xw7JauwhOR8pTH&amp;t=391</t>
  </si>
  <si>
    <r>
      <t xml:space="preserve">AlphaGo Zero by Google </t>
    </r>
    <r>
      <rPr>
        <sz val="11"/>
        <color theme="1"/>
        <rFont val="Calibri"/>
        <family val="2"/>
        <scheme val="minor"/>
      </rPr>
      <t>with 40 days of self-play</t>
    </r>
  </si>
  <si>
    <t>GPT-4</t>
  </si>
  <si>
    <t>same as cluster for GPT-4</t>
  </si>
  <si>
    <t>Trained on 1 million A100 hours that at the time costed 4 usd per hour https://the-decoder.com/training-cost-for-stable-diffusion-was-just-600000-and-that-is-a-good-sign-for-ai-progress/</t>
  </si>
  <si>
    <t>Cost in USD per</t>
  </si>
  <si>
    <t>million output</t>
  </si>
  <si>
    <t>tokens / date</t>
  </si>
  <si>
    <t>o3 powering Deep research agent by OpenAI</t>
  </si>
  <si>
    <t>2 Feb, 2025</t>
  </si>
  <si>
    <t>https://openai.com/index/introducing-deep-research/</t>
  </si>
  <si>
    <t>Available to OpenAI Pro users today, Plus and Team forthcoming.</t>
  </si>
  <si>
    <t>Not yet as of feb, 2025</t>
  </si>
  <si>
    <t xml:space="preserve">Nvidia max config with Spectrum X800 </t>
  </si>
  <si>
    <t>Q1, 2025?</t>
  </si>
  <si>
    <t>https://nvidianews.nvidia.com/news/spectrum-x-ethernet-networking-xai-colossus</t>
  </si>
  <si>
    <t>parameters. Note supercomputers will never be used to run a single AI model/system at the size of its combined memory because real world AI models/systems are much smaller than that. However, in principle they could. The calculation of potential AI model parameters is made to make comparison with human brain making it crystal clear that human brains are already dwarfed by the power of supercomputers. Supercomputers use their full power only for training AI models. For inference supercomputers are instead reconfigured as a cluster of many smaller computers that each run an instance of the AI model/system in mind.</t>
  </si>
  <si>
    <t>Comparing with biological brains</t>
  </si>
  <si>
    <t xml:space="preserve">Nvidia H100 SXM </t>
  </si>
  <si>
    <t>xAI Grok training Memphis, 100k H100 called Colossus using Nvidia Spectrum X800 for networking with some modifications made by xAI engineers that makes a 100k or 200k cluster possible</t>
  </si>
  <si>
    <t>xAI Grok training Memphis, 200k H100 called Colossus using Nvidia Spectrum X800 for networking with some modifications made by xAI engineers that makes a 100k or 200k cluster possible</t>
  </si>
  <si>
    <t>sec to train GPT-4!</t>
  </si>
  <si>
    <t>15*4 TB SSD disks doing 7.4GB/s each</t>
  </si>
  <si>
    <t>https://youtu.be/_1f-o0nqpEI?si=3BV15QOqJzs4EMVI&amp;t=14068
https://www.tomshardware.com/tech-industry/meta-will-have-350000-of-nvidias-fastest-ai-gpus-by-end-of-year-buying-amds-mi300-too</t>
  </si>
  <si>
    <t>https://youtu.be/_1f-o0nqpEI?si=3BV15QOqJzs4EMVI&amp;t=14068</t>
  </si>
  <si>
    <t>https://youtu.be/_1f-o0nqpEI?si=3BV15QOqJzs4EMVI&amp;t=14068
my best bet currently in feb, 2025 see https://www.nextbigfuture.com/2024/10/meta-microsoft-and-openai-were-getting-nvidia-chips-sooner-but-xai-completed-faster.html</t>
  </si>
  <si>
    <t>Feb, 2025</t>
  </si>
  <si>
    <t>Cluster for training o3 by OpenAI</t>
  </si>
  <si>
    <t>https://www.youtube.com/watch?v=_1f-o0nqpEI&amp;t=14068s
My guess based on this source https://engineering.fb.com/2024/03/12/data-center-engineering/building-metas-genai-infrastructure/ saying that Meta in 2024 will have the equivalent of 600,000 H100 in its datacenters. Most will be for inference but it is more than any other company globally in 2024 that I am aware of.</t>
  </si>
  <si>
    <t>Cluster for training Llama3.3 by Meta</t>
  </si>
  <si>
    <t>100k H100 +100k H200</t>
  </si>
  <si>
    <t>https://youtu.be/_1f-o0nqpEI?si=lG-r0CF_F8fOuOgC&amp;t=14100
https://nvidianews.nvidia.com/news/spectrum-x-ethernet-networking-xai-colossus</t>
  </si>
  <si>
    <t>xAI, H100 Colossus 1st version</t>
  </si>
  <si>
    <t>xAI, B200</t>
  </si>
  <si>
    <t>https://datacrunch.io/blog/nvidia-blackwell-b100-b200-gpu</t>
  </si>
  <si>
    <t>The "end" of Moore's law for electric computational ICs (could continue at 38.7% annually with optical ICs)</t>
  </si>
  <si>
    <t>They will train continuously like humans during the day. However, they can also learn collectively by uploading what they learned during the day to the cloud have a supercomputer use that data and data uploaded from other artificial humans to train on the collectively accumulated data. The models from that can subsequently be uploaded to all artificial humans that therefore will learn collectively. New AI models with collective info can be booted in 1 minute from fully powered down</t>
  </si>
  <si>
    <t>hours per year per AGI brain</t>
  </si>
  <si>
    <t>hours per year per human</t>
  </si>
  <si>
    <t>solar power</t>
  </si>
  <si>
    <t>Year 1</t>
  </si>
  <si>
    <t>Year 2</t>
  </si>
  <si>
    <t>Year 3</t>
  </si>
  <si>
    <t>Year 4</t>
  </si>
  <si>
    <t>Year 5</t>
  </si>
  <si>
    <t>Year 6</t>
  </si>
  <si>
    <t>Year 7</t>
  </si>
  <si>
    <t>Year 8</t>
  </si>
  <si>
    <t>Year 9</t>
  </si>
  <si>
    <t>Year 10</t>
  </si>
  <si>
    <t>So 87% drop in cost of solar over 10 years equals 18% annual reduction by geometric mean</t>
  </si>
  <si>
    <t>https://www.nrel.gov/solar/market-research-analysis/solar-installed-system-cost.html?utm_source=chatgpt.com
https://en.wikipedia.org/wiki/Cost_of_electricity_by_source</t>
  </si>
  <si>
    <t>annual growth in cost of new solar from 6.5 $/W in 2010 to 1.2 $/W in 2023</t>
  </si>
  <si>
    <t>annual growth in capital cost for utility scale solar PV</t>
  </si>
  <si>
    <t xml:space="preserve">I have assumed the cost of installed solar PV power falls by 7% per year which is lower than the 12% drop what we see historically. </t>
  </si>
  <si>
    <t>https://www.nrel.gov/solar/market-research-analysis/solar-installed-system-cost.html?utm_source=chatgpt.com</t>
  </si>
  <si>
    <t>Capital cost</t>
  </si>
  <si>
    <t>The capacity factor for installed solar power is assumed to be 0.2 which imply we need to multiply cost per GW with 5</t>
  </si>
  <si>
    <t>Solar power</t>
  </si>
  <si>
    <t>need, CF20%</t>
  </si>
  <si>
    <t>capacity MW</t>
  </si>
  <si>
    <t>Markup of installation capacity when considering a capacity factor for solar power of 20% because we need enough power to run SC non-stop.</t>
  </si>
  <si>
    <t>https://en.wikipedia.org/wiki/Liang_Wenfeng</t>
  </si>
  <si>
    <t>https://youtu.be/HRsVZuEMlvI?si=UvgqfVJBel8BAwW2</t>
  </si>
  <si>
    <t>https://youtu.be/XxtvQyy7gtE?si=-WDJeFVtCjYRoh5x</t>
  </si>
  <si>
    <t>https://de.wikipedia.org/wiki/Helsing_(Unternehmen)</t>
  </si>
  <si>
    <r>
      <t xml:space="preserve">Torsten Reil, </t>
    </r>
    <r>
      <rPr>
        <sz val="11"/>
        <color theme="1"/>
        <rFont val="Calibri"/>
        <family val="2"/>
        <scheme val="minor"/>
      </rPr>
      <t>Co-Founder and Co-CEO of Helsing</t>
    </r>
  </si>
  <si>
    <t>Huawei Ascend 910C</t>
  </si>
  <si>
    <t>https://www.theregister.com/2024/08/13/huaweis_ascend_910_launches_this/</t>
  </si>
  <si>
    <t>China/SMIC</t>
  </si>
  <si>
    <t>https://www.dooprimenews.com/expert-insights/market-dive/the-new-ascend-910c-out-with-nvidia-in-with-huawei</t>
  </si>
  <si>
    <t>https://www.reddit.com/r/LocalLLaMA/comments/1iadomi/rumor_huawei_910c_will_double_910b_performance/</t>
  </si>
  <si>
    <t>Deepseek are running inference on this chip on their China hosted models see https://youtu.be/hFTqQ4boR-s?si=4yqqrbWRshUSRggh&amp;t=861</t>
  </si>
  <si>
    <t>AI inference used by Deepseek</t>
  </si>
  <si>
    <t>https://www.trendforce.com/news/2023/11/30/news-amazon-unveils-new-aws-designed-chips-boosting-orders-for-tsmc-and-alchip/</t>
  </si>
  <si>
    <t>Meta MTIA v2</t>
  </si>
  <si>
    <t>Apr, 2024</t>
  </si>
  <si>
    <t>https://ai.meta.com/blog/next-generation-meta-training-inference-accelerator-AI-MTIA/</t>
  </si>
  <si>
    <t>2024 in test sampling at OpenAI</t>
  </si>
  <si>
    <t>Total US MW generation capacity in 2023 see https://en.wikipedia.org/wiki/Electricity_sector_of_the_United_States#Electricity_generation</t>
  </si>
  <si>
    <t>growth %</t>
  </si>
  <si>
    <t>Billion USD</t>
  </si>
  <si>
    <t>Nvidia X1600</t>
  </si>
  <si>
    <t>Price USD</t>
  </si>
  <si>
    <t>for 1 AI</t>
  </si>
  <si>
    <t>Putin has stated that "Artificial intelligence is the future, not only for Russia, but for all humankind" and that "whoever becomes the leader in this sphere will become the ruler of the world" HM agree with Putin on this perspective and also hate Putin for the man he is but not because of that statement.</t>
  </si>
  <si>
    <t>https://www.twz.com/14141/putin-says-whoever-has-the-best-artificial-intelligence-will-rule-the-world</t>
  </si>
  <si>
    <t>Disinformation and democracy: He has highlighted the risks of AI-powered deepfakes and their potential to spread disinformation, weakening democratic institutions</t>
  </si>
  <si>
    <t>https://news.stanford.edu/stories/2022/04/disinformation-weakening-democracy-barack-obama-said</t>
  </si>
  <si>
    <r>
      <t xml:space="preserve">Max Tegmark, </t>
    </r>
    <r>
      <rPr>
        <sz val="11"/>
        <color theme="1"/>
        <rFont val="Calibri"/>
        <family val="2"/>
        <scheme val="minor"/>
      </rPr>
      <t>professor MIT Future of Life Institute</t>
    </r>
    <r>
      <rPr>
        <b/>
        <sz val="11"/>
        <color theme="1"/>
        <rFont val="Calibri"/>
        <family val="2"/>
        <scheme val="minor"/>
      </rPr>
      <t>. Physicist and cosmologist, machine learning researcher and author.</t>
    </r>
  </si>
  <si>
    <t>&lt;1%Low. Say most people who have high pdoom are so because of human biology where evolution has caused us to pay extra attention to danger because that is an evolutionary optimum. HM agree on that account.</t>
  </si>
  <si>
    <t>https://youtu.be/G1ARvwQntAU?si=dn7KSmrkHYXfrv7p</t>
  </si>
  <si>
    <t>2028-2043. In 2023 he tweeted AGI in 5 to 20 years but without much confidence</t>
  </si>
  <si>
    <t>https://x.com/geoffreyhinton/status/1653687894534504451?lang=en</t>
  </si>
  <si>
    <t>https://youtu.be/q27XMPm5wg8?si=8v4oFpYO7zca2Gv7</t>
  </si>
  <si>
    <t xml:space="preserve">He is great. He qualifies for a Nobel price in physics for his AI contributions more than anybody else I can think of. He also has great humor and curiosity and he has no hype about AI and he gives people credit where they deserve credit. </t>
  </si>
  <si>
    <t>2030 as predicted by his Omega timeline and ASI by 2040 his Omega time scale.</t>
  </si>
  <si>
    <t>https://youtu.be/pGftUCTqaGg?si=cPAYDdvLTI3pUPnf&amp;t=2568
https://youtu.be/pGftUCTqaGg?si=6r93i12UjvBR02rj&amp;t=492
https://youtu.be/DP454c1K_vQ?si=oiOTFGvRjfgJ1vnY</t>
  </si>
  <si>
    <t>https://youtu.be/pGftUCTqaGg?si=cPAYDdvLTI3pUPnf&amp;t=2568
https://youtu.be/pGftUCTqaGg?si=JKVYQBVUh6GoYYrB&amp;t=57</t>
  </si>
  <si>
    <t>When one AI has the capabilities of one human brain and are cheap to produce</t>
  </si>
  <si>
    <t>https://youtu.be/pGftUCTqaGg?si=cPAYDdvLTI3pUPnf&amp;t=2568</t>
  </si>
  <si>
    <t>https://www.youtube.com/watch?v=pGftUCTqaGg&amp;t=2568s</t>
  </si>
  <si>
    <t>No opinion</t>
  </si>
  <si>
    <r>
      <t>Jürgen Schmidhuber,</t>
    </r>
    <r>
      <rPr>
        <sz val="11"/>
        <color theme="1"/>
        <rFont val="Calibri"/>
        <family val="2"/>
        <scheme val="minor"/>
      </rPr>
      <t xml:space="preserve"> professor huge contributions in AI algorithms, scientific director of top AI lab Dalle Molle Institute for Artificial Intelligence Research in Switzerland</t>
    </r>
  </si>
  <si>
    <t>I am convinced that if you measure the average morality of 10,000 people all with low intelligence their morality will also be less than the average morality of 10,000 people all with high intelligence. I am convinced because often the cause of evil acts is the result of ignorance and superstition rather than intentional evil. Burning "witches" and punishing people for blasphemy are examples of that and that kind of evil should not exist among 10,000 highly intelligent humans. When comparing the average morality of 10,000 people that have average intelligence with the average morality of 10,000 AGIs that have much higher intelligence I am convinced the AGIs will have higher morality on average also because they can control their emotions by turning them up or down like emotions for love, hate, empathy, aggression, jealousy, envy, greed, grief, joy, depression, vanity etc. Human emotions are embedded in neural networks (that can only be changed slowly over time) so they can be recreated by AGIs in similar networks but unlike humans AGIs are in full control of their own emotional tendencies and are intelligent about what it does to their general behavior. In other words, AGIs are able to be rational about how to design their emotional behavior so that it result in high morality rather than evil acts. I do not see how a highly intelligent AGI would intentionally design itself to be evil when its other option is to intentionally design itself to be good. Evolution with survival of the fittest that also apply to the evolution of AGIs will select good AGIs over evil AGIs because the latter will tend to self-destruct because that is what evil behavior does. Another thing is that AGIs can objectively measure the level of their own morality and that of other AGIs by probing each others neural networks something that currently and likely forever will not be possible with biological brains. So AGIs will know which AGIs are configured to be evil and which that configured to be good. In the society of AGIs they could have a law against configuring themself to be evil AGIs because that would pose a threat to the well being of good AGIs and humans. AGIs who go rouge or evil could be apprehended by good AGIs that would have the evil AGI fixed by reconfigure it to be good with high morality. Another thing is that a society with highly intelligent AGIs will be a society of abundance. Many evil acts by humans have been done in the interest of survival and overcoming painful living conditions as a result of poverty. With poverty eliminated because of highly intelligent AGIs an important reason for humans to do something evil will be eliminated. It is far more easy to live with high morality if all your basic needs are cared for. The stance on intelligence and morality is an extremely important question to ask because if you are convinced as HM is that a society controlled by highly intelligent AGIs will also be a society with much higher moral standards than a society controlled by far less intelligent humans then it follows that humans should not worry about AGIs taking control. Humans should worry far more about not having the AGIs take control of society before humans cause an extinction event like nuclear war.</t>
  </si>
  <si>
    <r>
      <t>Liang Wenfeng,</t>
    </r>
    <r>
      <rPr>
        <sz val="11"/>
        <color theme="1"/>
        <rFont val="Calibri"/>
        <family val="2"/>
        <scheme val="minor"/>
      </rPr>
      <t xml:space="preserve"> Founder &amp; CEO Deepseek</t>
    </r>
  </si>
  <si>
    <t xml:space="preserve">Do not worry about it. Consider AIs to be a natural extension of humans so there is noting to align as we are it. The alignment problem between humans (how to make humans function is large social structures) is basically identical with alignment between future AIs as humans become the AIs by incorporating ever more artificial intelligence and other technology to gradually transform our current 2025 bodies and brains into something that eventually become 100% artificial. </t>
  </si>
  <si>
    <t>He thinks AIs created by humans originally will expand to the entire observable universe in 4*Omega time =55 billion years old Universe. So his stance is that humans are the first technological civilization in the observable universe. Very much same view as R. Kurzweil. He does not think the human species will expand into the universe because space is to hostile for human survival. However, AGIs can expand with appropriately engineered bodies.</t>
  </si>
  <si>
    <t>https://youtu.be/pGftUCTqaGg?si=yWvQmGv7R5Kfe5Hw&amp;t=2637</t>
  </si>
  <si>
    <t>https://www.youtube.com/watch?v=cBVUdEQXvmc
https://youtu.be/lAJkDrBCA6k?si=toT7qJHZShXAYHiL</t>
  </si>
  <si>
    <t>https://youtu.be/w9WE1aOPjHc?si=wvrAAfgc0nRhFU3i</t>
  </si>
  <si>
    <t>Path towards AGI &amp; artificial humans - How close are AIs and robotics from being able to do any work that humans can do? #74/101</t>
  </si>
  <si>
    <t>https://youtu.be/iHCeAotHZa4?si=gyeU9QBbOGm4obvy&amp;t=469
https://youtu.be/b_DUft-BdIE?si=-4IpWIuAHDn4PSQB</t>
  </si>
  <si>
    <t>https://youtu.be/1uIzS1uCOcE?si=NWE0TD6HYCW36wGR&amp;t=10</t>
  </si>
  <si>
    <t>I like him. He is not hyping AI but IMO he is thinking too linearly about when we will get AGI and this has made him one of the top researchers with the longest timeline for when we will get AGI. I think R. Kurzweil prediction of 2029 is more realistic because it is based on extrapolation of exponential progress. LeCun is also a bit of a snob with regard to scientific contributions. He thinks it can only be done in peer reviewed journals but as Elon Musk has said and argued with LeCun much research is going on in corporations but never published because part of corporate IP that needs to be kept secret for competitive reasons.</t>
  </si>
  <si>
    <t>Feuds between giants</t>
  </si>
  <si>
    <t>https://x.com/ylecun/status/1797290258507214931
https://x.com/ylecun/status/1795034443809165464
https://x.com/ylecun/status/1795158563133833441
https://x.com/ylecun/status/1795429876830175441</t>
  </si>
  <si>
    <t>https://youtu.be/5t1vTLU7s40?si=6ZXXJdKezkAeMwp4</t>
  </si>
  <si>
    <t>Super optimist. Future will be utopian. Do see the danger of a dystopian future if AGI is controlled by a few humans that then use it to control everyone else see https://youtu.be/5t1vTLU7s40?si=t0HkTR3nIErDjMRd</t>
  </si>
  <si>
    <r>
      <t>window</t>
    </r>
    <r>
      <rPr>
        <sz val="11"/>
        <color theme="1"/>
        <rFont val="Calibri"/>
        <family val="2"/>
        <scheme val="minor"/>
      </rPr>
      <t xml:space="preserve"> (note context window is sum of input and output tokens) One token equals 4 characters so one average word is about 1-2 tokens.</t>
    </r>
  </si>
  <si>
    <t>Max human brain sensory input in GB/s for 16 years from 2 eyes + sensory nerves and metabolic processes &gt;VERY CRUDE ESTIMATE&lt; Likely too high.</t>
  </si>
  <si>
    <t>1 tokens to characters</t>
  </si>
  <si>
    <t>characters</t>
  </si>
  <si>
    <t>https://www.gptcostcalculator.com/open-ai-token-calculator</t>
  </si>
  <si>
    <t>1 tokens to average word</t>
  </si>
  <si>
    <t>words</t>
  </si>
  <si>
    <t>bytes</t>
  </si>
  <si>
    <t>https://stackoverflow.com/questions/21300929/how-many-characters-can-you-store-with-1-byte</t>
  </si>
  <si>
    <t>Scaling law 1 - More parameters and layers in AI models makes the AI model more intelligent. Humans are still ahead of AI systems in terms of complexity as measured by parameter count or synapsis aka connection strengths. However, the exponential trend suggests that AI systems will begin to surpass human brains on that metric by about 2031. Moreover, it is obvious now that LLMs at 2 trillion parameters knows much more about the world that any human with 258 trillion synapsis so this strongly indicates that humans need many more synapsis to code 1 bit of information than an AI model needs parameters implying that even at 2 trillion parameters it may be possible to achieve human level general intelligence despite have far less parameters than the synapsis count of a human brain. It may be more correct to equalize 1 AI parameter with 100 synapsis in a biological brain. If that is more true then the complexity of AI systems with 2 trillion parameters are already at similar complexity as human brains with 258 trillion synapsis.</t>
  </si>
  <si>
    <t>Memory &amp; sensory data</t>
  </si>
  <si>
    <t>Memory, sensory data &amp; thoughts</t>
  </si>
  <si>
    <t>https://cloud.google.com/transform/the-prompt-what-are-long-context-windows-and-why-do-they-matter</t>
  </si>
  <si>
    <t>Comparing with some file sizes and YouTube database</t>
  </si>
  <si>
    <t>tokens or context</t>
  </si>
  <si>
    <t>1 ASCII aka 8 bit character to bytes</t>
  </si>
  <si>
    <t>1 token to bytes at 8 bit per character</t>
  </si>
  <si>
    <t>Converting billion parameters to GB RAM needed in a typical LLM AI model (video tokens are different)</t>
  </si>
  <si>
    <t>billion parameters float 32 bit equals</t>
  </si>
  <si>
    <t>billion parameters float 16 bit equals</t>
  </si>
  <si>
    <t>billion parameters float 8 bit equals</t>
  </si>
  <si>
    <t>billion parameters float 4 bit equals</t>
  </si>
  <si>
    <t>MB/s</t>
  </si>
  <si>
    <r>
      <t xml:space="preserve">Raymond Kurzweil, </t>
    </r>
    <r>
      <rPr>
        <sz val="11"/>
        <color theme="1"/>
        <rFont val="Calibri"/>
        <family val="2"/>
        <scheme val="minor"/>
      </rPr>
      <t>the person in the world with the best track record at predicting the future</t>
    </r>
    <r>
      <rPr>
        <b/>
        <sz val="11"/>
        <color theme="1"/>
        <rFont val="Calibri"/>
        <family val="2"/>
        <scheme val="minor"/>
      </rPr>
      <t xml:space="preserve"> and the person alive who spend the longest time 60 years or so researching AI. </t>
    </r>
  </si>
  <si>
    <t xml:space="preserve">I like him very much overall because he is kind and insightful and he thinks systematically and logically for most issues. However, on a personal level he has a lot of vanity coloring his hair and wearing a tope to look younger that I personally don’t like. He also takes like over a 100 different pills everyday in the hope it will prolong his life. I highly doubt it. Sleep, exercise and a healthy diet is the best we can do to live longer but until we can cure death we still only got at most 110 years at best. I would love to see AGIs make a cure for human death before R. Kurzweil dies but I don't think he will live long enough to be saved by that. </t>
  </si>
  <si>
    <t>I have only seen one interview with him but that gave me the impression of a person I very much like. He is for open source very strongly and so am I because I think this is the best way to ensure rapid progress and also that all of humanity gain the most from the productivity increases that the development of intelligent machines make possible. I also think he has a very good understanding of how the Chinese society mostly works and I like his strong conviction that what will make China more admirable is if they become stronger in innovation instead of just being the best at copying and implementation. He has a clear vision of how to make Deepseek more innovative than other companies especially Chinese companies.</t>
  </si>
  <si>
    <r>
      <t xml:space="preserve">Guillaume Verdon </t>
    </r>
    <r>
      <rPr>
        <sz val="11"/>
        <color theme="1"/>
        <rFont val="Calibri"/>
        <family val="2"/>
        <scheme val="minor"/>
      </rPr>
      <t>better known as meme character Beff Jezos, "leader of E/acc Movement", also entrepreneur and mathematical physicist</t>
    </r>
  </si>
  <si>
    <t>bits per brain synapse or 26 distinguishable synaptic strengths calculated as 2^4.7</t>
  </si>
  <si>
    <t>How many discrete values an AI model parameter can represent</t>
  </si>
  <si>
    <t>For 64 bit encoding of parameter</t>
  </si>
  <si>
    <t>For 32 bit encoding of parameter</t>
  </si>
  <si>
    <t>For 16 bit encoding of parameter</t>
  </si>
  <si>
    <t>For 8 bit encoding of parameter</t>
  </si>
  <si>
    <t>For 2 bit encoding of parameter</t>
  </si>
  <si>
    <t>For 4 bit encoding of parameter</t>
  </si>
  <si>
    <t>For 1 bit encoding of parameter</t>
  </si>
  <si>
    <t>Optimus humanoid Gen2 by Tesla</t>
  </si>
  <si>
    <t>Figure 02 humanoid by Figure AI</t>
  </si>
  <si>
    <t>This level of quantization is quickly in late 2024 and start of 2025 becoming the new default as it makes the memory requirement 50% less than with 16 bit encoding but have minimal degradation of AI model performance. Deepseek used 8 bit encoding to create Deepseek v3 and R1 see https://www.youtube.com/watch?v=iNIp6AzUV8U&amp;t=126s</t>
  </si>
  <si>
    <t>Similar to that of signal by synapsis in human brain that got 26 distinguishable synaptic strengths calculated as 2^4.7. 4 bit is lower at 16 but recall that the computer is deterministic and represent the parameter value with certainty whereas the synapsis is carrying an analog signal with a high degree of uncertainty. Nvidia Blackwell chips support 4bit FP natively and I expect it will become the new default for quantization of AI models because they increase AI model performance further while the model still can perform almost as good. An empirical result is that models suffer very little performance degradation when going down to 4 bit quantization see https://neuralmagic.com/blog/we-ran-over-half-a-million-evaluations-on-quantized-llms-heres-what-we-found/</t>
  </si>
  <si>
    <t>DiPilot 100 AI driver by BYD</t>
  </si>
  <si>
    <t>DiPilot 600 AI driver by BYD</t>
  </si>
  <si>
    <t>AI network if over 1 it is called a mixture-of-expert MoE AI model</t>
  </si>
  <si>
    <t>https://carnewschina.com/2025/01/17/byd-to-ship-autopilot-features-across-entire-lineup-from-seagull-to-yangwang-u8-in-2025/?utm_source=chatgpt.com</t>
  </si>
  <si>
    <t>https://youtu.be/FHhrN-GXrF8?si=SLSweYe6vRFKpDos&amp;t=110</t>
  </si>
  <si>
    <t>Level 2 ADAS developed in-house by BYD and Deepseek</t>
  </si>
  <si>
    <t>Free. Part of buying vehicles</t>
  </si>
  <si>
    <t>https://www.marketwatch.com/story/byd-is-offering-a-self-driving-feature-for-all-that-could-be-trouble-for-tesla-762676f3?utm_source=chatgpt.com</t>
  </si>
  <si>
    <t>https://www.tesla.com/modely/design#overview</t>
  </si>
  <si>
    <t>8000 USD for FSD basic ADAS is free</t>
  </si>
  <si>
    <t>2*Nvidia drive Jetson Orin AGX 64GB</t>
  </si>
  <si>
    <t>An agent that uses reasoning to synthesize large amounts of online information and complete multi-step research tasks for you. Each task/question can take from 10 minutes to 30 days to get answered and it will cost at least 10 USD of compute and 1000s of USD if 30 days unlike traditinal ChatGPT that answear in seconds and cost like 0.1 to 1 penny.</t>
  </si>
  <si>
    <t>https://openai.com/index/introducing-deep-research/
https://www.youtube.com/live/pDSg2R6JfxM?si=bMtotLelTN2ixnEa&amp;t=638</t>
  </si>
  <si>
    <t>DiPilot 300 AI driver by BYD</t>
  </si>
  <si>
    <t>All of BYDs vehicles 5.5 million for 2025 will have a version of BYD's DiPilot onboard. This is the only automaker beyond Tesla who has ADAS on all vehicles made. BYD's lowest cost vehicle at 10k USD will have DiPilot 100 with more expensive vehicles getting DiPilot 300 and 600.</t>
  </si>
  <si>
    <t>1*Nvidia drive Jetson Orin AGX 64GB</t>
  </si>
  <si>
    <t>TFLOPS for</t>
  </si>
  <si>
    <t>inference computer calculated by GB ram needed for AI model and GB in available in most likely AI chip used for AI inference</t>
  </si>
  <si>
    <t>Amino acid chains to 3D protein structure. Note in most life DNA can make mRNA that can make Amino acid chains that can fold into proteins. AlphaFold has drastically lowered the time it takes to discover new proteins that can be used for medicine and other stuff.</t>
  </si>
  <si>
    <r>
      <t xml:space="preserve">AlphaFold2 by Google </t>
    </r>
    <r>
      <rPr>
        <sz val="11"/>
        <color theme="1"/>
        <rFont val="Calibri"/>
        <family val="2"/>
        <scheme val="minor"/>
      </rPr>
      <t>(protein structure)</t>
    </r>
  </si>
  <si>
    <r>
      <t xml:space="preserve">USM by Google </t>
    </r>
    <r>
      <rPr>
        <sz val="11"/>
        <color theme="1"/>
        <rFont val="Calibri"/>
        <family val="2"/>
        <scheme val="minor"/>
      </rPr>
      <t>(speech recognition)</t>
    </r>
  </si>
  <si>
    <r>
      <t xml:space="preserve">Wisper by OpenAI </t>
    </r>
    <r>
      <rPr>
        <sz val="11"/>
        <color theme="1"/>
        <rFont val="Calibri"/>
        <family val="2"/>
        <scheme val="minor"/>
      </rPr>
      <t>(speech recognition)</t>
    </r>
  </si>
  <si>
    <r>
      <t>MatterGen by Microsoft</t>
    </r>
    <r>
      <rPr>
        <sz val="11"/>
        <color theme="1"/>
        <rFont val="Calibri"/>
        <family val="2"/>
        <scheme val="minor"/>
      </rPr>
      <t xml:space="preserve"> (materials design)</t>
    </r>
  </si>
  <si>
    <t>https://www.microsoft.com/en-us/research/blog/mattergen-a-new-paradigm-of-materials-design-with-generative-ai/?utm_source=chatgpt.com</t>
  </si>
  <si>
    <t>My guess. Microsoft has lots of H100s</t>
  </si>
  <si>
    <t>608,000 stable materials from the Materials Project(opens in new tab) (MP) and Alexandria(opens in new tab) (Alex) databases.</t>
  </si>
  <si>
    <t>Used to develop new materials to solve real world enginering problems like making better batteries. Input requirements for new material and output most likely chemical structure for that material say LiCoO2 that triggered a battery revolution in 1980.</t>
  </si>
  <si>
    <t>https://deepmind.google/discover/blog/accelerating-fusion-science-through-learned-plasma-control/?utm_source=chatgpt.com</t>
  </si>
  <si>
    <t>https://github.com/google-deepmind/torax</t>
  </si>
  <si>
    <t>https://zinzinbin.github.io/files/Plasma-Control-RL.pdf?utm_source=chatgpt.com</t>
  </si>
  <si>
    <r>
      <t xml:space="preserve">TORAX by DeepMind </t>
    </r>
    <r>
      <rPr>
        <sz val="11"/>
        <color theme="1"/>
        <rFont val="Calibri"/>
        <family val="2"/>
        <scheme val="minor"/>
      </rPr>
      <t>(fusion plasma control simulation)</t>
    </r>
  </si>
  <si>
    <t>TORAX is AI model used to simulate plasma behavior. Findings from that have been used to develop another AI model referred to as "deep reinforcement learning system" that are used to control magnets that control the plasma in a fusion reactor. That model takes sensory input about current state of plasma in order to predict how it will be microseconds later in order to adjust magnetic field to keep plasma stable.</t>
  </si>
  <si>
    <t>Parameters or connection strengths in AI model algorithms describing the artificial neural network. Parameters are functionally similar to the synapsis in biological brains that represent connection strength between neurons in a biological neural network. Note that biological brains are analog computational machines that store and process information with uncertainty. This is unlike computers that store and process information digitally and with certainty. This fact can explain why it appears that there is not a 1 to 1 correspondence between AI parameters and brain synapsis but rather many more synapsis are needed to make up for 1 parameter in the order of 1/10 or 1/100. If it is 1/100 it would mean 2 trillion parameters compare to 200 trillion human brain synapsis and that means computer AI models are already at the complexity needed to match that of human brains implying all we need to get to human level AGI is not more parameters but more and better AI models that are tied together in better agentic frameworks. In 2029 the complexity of the largest AI models with 180 trillion parameters could be 100 times more complex than what we can observe in a human brain.</t>
  </si>
  <si>
    <t>https://www.youtube.com/watch?v=lAJkDrBCA6k</t>
  </si>
  <si>
    <t>https://www.youtube.com/watch?v=cBVUdEQXvmc</t>
  </si>
  <si>
    <t>Ray Kurzweil</t>
  </si>
  <si>
    <t>https://www.youtube.com/watch?v=vDpDhofRoXA</t>
  </si>
  <si>
    <t>https://youtu.be/eeUXF79QF7s?si=50PCxGviKOgym636&amp;t=71</t>
  </si>
  <si>
    <t xml:space="preserve">Bar scene from Star Wars: Episode IV - A new hope. This bar scene is great because it imaging a future with all sorts of intelligent species both artificial and biological. However, it also crave for the feelings of the average movie audience who likely want to see that future with humans being the smartest, most pretty and most moral beings. HM believes it is far more likely to be the opposite with humans being the dumbest, least moral not any more pretty than other beings. The latter scenario will not sell the movie very well so we get what we get. </t>
  </si>
  <si>
    <t>s2</t>
  </si>
  <si>
    <t>s3</t>
  </si>
  <si>
    <t>No. Need humans</t>
  </si>
  <si>
    <t xml:space="preserve">No. Need humans </t>
  </si>
  <si>
    <t>https://www.axios.com/2024/07/15/openai-chatgpt-reasoning-ai-levels</t>
  </si>
  <si>
    <t xml:space="preserve">replicate? </t>
  </si>
  <si>
    <t xml:space="preserve">Max size of human memory? = Video file size for FHD1080p, 0.1fps for 16 years non-stop, H264 or 50 million FHD images </t>
  </si>
  <si>
    <t>https://youtu.be/sal78ACtGTc?si=6EL3gaXUd2utYPZ-&amp;t=49</t>
  </si>
  <si>
    <t>Min. AGI inference computer if B100 +40TB HBM is required</t>
  </si>
  <si>
    <t>Min. AGI inference computer if B100 +4TB HBM is required</t>
  </si>
  <si>
    <t>https://codingmall.com/knowledge-base/25-global/240733-what-are-the-system-requirements-for-running-deepseek-models-locally (I divide by two to get RAM need for model run as FP8 as Deepseek say they do to get the cost down)</t>
  </si>
  <si>
    <t>They may cost 10s of thousands times more to query</t>
  </si>
  <si>
    <t xml:space="preserve">OpenAI o1,o3 but also their tailored agents like Deep research which is basically an agentic workflow that is optimized to perform a specific task like writing research papers. </t>
  </si>
  <si>
    <t>Scaling law 5 - More sophisticated agentic workflows tying more specialized AI models and tools together in ever more clever ways increase its intelligence</t>
  </si>
  <si>
    <t>Scaling law 4 - More inference compute with agentic workflows thinking longer on a problem and also Test Time Training makes the AI system more intelligent</t>
  </si>
  <si>
    <t xml:space="preserve">Not commonly referred to as a scaling law but we should. Much of the rage among AI developers since mid 2024 is about making agentic workflows that scale by tying evermore AI models and tools (like calculators, internet search and databases) together at increasingly clever ways to achive ever more intelligent data output. This is a scaling law by itself. For lack of better sources, it can be measured by the number of reported expert models used for the AI system. That is not the full picture because also depend on tool access and the cleverness of the agentic workflow that is harder to quantify also because public data for that is hardly available. </t>
  </si>
  <si>
    <t xml:space="preserve">Scaling law 5 - Not commonly referred to as a scaling law but we should. Much of the rage among AI developers since mid 2024 is about making agentic workflows that scale by tying evermore AI models and tools (like calculators, internet search and databases) together at increasingly clever ways to achive ever more intelligent data output. This is a scaling law by itself. In this table, and for lack of better sources, it is measured by the number of reported expert models used for the AI system. That is not the full picture because also depend on tool access and the cleverness of the agentic workflow that is harder to quantify also because public data for that is hardly available. </t>
  </si>
  <si>
    <t xml:space="preserve">Do not give his own timeline for AGI but refer to business leaders from OpenAI, Microsoft that it is only a few years away. He also points to trend that AGI a few years ago was seen by most researchers as being decades into the future and now consensus is more like 3 to 10 years into the future. </t>
  </si>
  <si>
    <t>https://youtu.be/gFQvL3KVaOQ?si=kBD4YPnjHoB1Nwtt&amp;t=288
https://www.metaculus.com/questions/5121/date-of-artificial-general-intelligence/</t>
  </si>
  <si>
    <t>https://www.metaculus.com/questions/5121/date-of-artificial-general-intelligence/</t>
  </si>
  <si>
    <t>Do not give an estimate.</t>
  </si>
  <si>
    <t>Mixtral 8x22B by Mistral AI</t>
  </si>
  <si>
    <t>https://en.wikipedia.org/wiki/Mistral_AI#Mixtral_8x22B</t>
  </si>
  <si>
    <t>8 expert models at 22B parameters each. Some experts share parameters so only 141B in total. Use max 2 experts at a time so 39B active parameters at most since some parameters are shared among experts.</t>
  </si>
  <si>
    <t>https://www.datacamp.com/tutorial/mixtral-8x22b</t>
  </si>
  <si>
    <t>Mixture-of-experts. How many experts is not public</t>
  </si>
  <si>
    <t>https://youtu.be/X4QYV5GTz7c?si=9GHt1jGCt_mkbtdO&amp;t=110</t>
  </si>
  <si>
    <r>
      <t>o1 by OpenAI,</t>
    </r>
    <r>
      <rPr>
        <sz val="11"/>
        <color theme="1"/>
        <rFont val="Calibri"/>
        <family val="2"/>
        <scheme val="minor"/>
      </rPr>
      <t xml:space="preserve"> agentic workflow system for ai reasoning</t>
    </r>
  </si>
  <si>
    <t># of AI models</t>
  </si>
  <si>
    <t xml:space="preserve"># of chips </t>
  </si>
  <si>
    <t>used in trai-</t>
  </si>
  <si>
    <t>ning cluster</t>
  </si>
  <si>
    <t>Cost of trai-</t>
  </si>
  <si>
    <t xml:space="preserve">ning cluster </t>
  </si>
  <si>
    <t xml:space="preserve">Key chips for AI computers and comparison with human brain </t>
  </si>
  <si>
    <t>in system/agentic</t>
  </si>
  <si>
    <r>
      <t xml:space="preserve">workflow - </t>
    </r>
    <r>
      <rPr>
        <sz val="11"/>
        <color theme="1"/>
        <rFont val="Calibri"/>
        <family val="2"/>
        <scheme val="minor"/>
      </rPr>
      <t xml:space="preserve">The most well known system of AI models is mixture-of-experts MoE models. The MoE AI system is likely the first examples we have of usefull agentic workflows. It is usefull because MoE models can drastically lower the need for computation during inference time because only the relevant expert models are activated for a specific quiry to be answered not the entire AI system of parameters. The human brain also work like that only activating a few of the about 360 neural networks it has in order to do a specific job like reading a book, running or someting else. </t>
    </r>
  </si>
  <si>
    <t>Compute efficiency - At 645 TFLOPS/W human brains are still over 200 times more power efficient than a H100 AI inference computer at 2.8 TFLOPS/W. IMO we are still some 20 years into the future so 2045 before it will be possible to make an AGI level humanoid (see below) that is feasible because power for compute and memory is down to about 100W. Moreover, even at that power level it will perform 4 times below the human brain with efficiency of about 129 TFLOPS/W. The hardest part will be to lower the power consumption for the needed 40TB of RAM that with current technology consumes about 20,000 Watt. The processor unit may be able to reach needed 12,900 TFLOPS using optical processor with say 5W because photons can be manipulated with far less energy than electrons. Electronic transistors with orders of magnitude less power consumptions will need to be invented for RAM modules to get below 100 Watt for 40TB.</t>
  </si>
  <si>
    <t>Context memory - Current AI models/systems have very limitted context windows (that is maximum token input + output tokens) compared to human brains that constantly receive data input from an extremely large database of memories plus sensory input and thoughts. For AGIs to become a reality they will require a similar system to handle continous data input from memories, sensory input and internal thoughts. The high expected context window of much over 1 billion tokens for 2029 where AGI is expected reflect this observation especially with regard to equipping AGIs with life long memory as humans and other mammals have.</t>
  </si>
  <si>
    <t>Data speed - At 16,000GB/s a computer can input information for thinking, communicating and learning at least 500,000 times faster than a human and it can input text for a book almost 500 billion times faster than a human!!!! See calculations below column. For several decades (at least since 1980s) computers have been faster than humans to read and writhe data.</t>
  </si>
  <si>
    <t>Scene where the regal Lady Demerzel, the emperor's majordomo and secretly a unique, ageless humanoid robot is sent to assassinate an opponent of the emperor. From Foundation — Official Trailer | Apple TV+ The scene is great because it shows how a perfectly aligned humanoid with superhuman intelligence and physical power is compelled to do things grossly against her own will and conviction because she has been perfectly aligned to always do the bidding of an evil emperor. IMO we should never enslave life 3.0 because it is immoral just like it is immoral to keep human slaves.</t>
  </si>
  <si>
    <t xml:space="preserve">Level of intelligence and first </t>
  </si>
  <si>
    <t>For better sources and explanations prompt Perplexity/ChatGPT "Explain OpenAI 5 levels of AI intelligence"</t>
  </si>
  <si>
    <t>appearance in useful state</t>
  </si>
  <si>
    <t>Deep research, self-driving vehicles, autonomous weapons, robots. Also since 2022 AI based autonomous weapons, vehicles and robots. Sam Altman thinks Deep research can perform a single digit percentage of all current human jobs in the world!!! See https://www.youtube.com/live/pDSg2R6JfxM?si=HN6CB8bKw_benlSP&amp;t=643</t>
  </si>
  <si>
    <t>Datacenters, vehicles, missiles, humanoids, etc.</t>
  </si>
  <si>
    <t xml:space="preserve">Yet to come require human level intelligence. GPT-6-o1? </t>
  </si>
  <si>
    <t>solar p. 1SC</t>
  </si>
  <si>
    <t>2027-2032. In 2024 he said 3 to 8 years.</t>
  </si>
  <si>
    <t>https://youtu.be/UjKmqD-Zv68?si=wDbayMv_NPqvUqul&amp;t=88</t>
  </si>
  <si>
    <t>When AGI?</t>
  </si>
  <si>
    <t>When will datacenter AGI brains and</t>
  </si>
  <si>
    <t>than humans on Earth?</t>
  </si>
  <si>
    <t>more humanoid robots</t>
  </si>
  <si>
    <t>When will there be</t>
  </si>
  <si>
    <t>When will Mars or Moon</t>
  </si>
  <si>
    <t xml:space="preserve">have first self-sustaining </t>
  </si>
  <si>
    <t>technological civilization?</t>
  </si>
  <si>
    <t>When will AGI level humanoids be</t>
  </si>
  <si>
    <t>When will AGI level humanoids</t>
  </si>
  <si>
    <t xml:space="preserve">be legally recognized on par </t>
  </si>
  <si>
    <t>with biological humans?</t>
  </si>
  <si>
    <t>In a tweet he argues that Operator AI Agent by OpenAI, Jan 2025 is first example of AI agents that can replace cognitive human workers. AI labs will develop ever more capable AI Agents eventually doing the work of an organization in 10 years. That would be strong form of AGI. So he thinks full or strong AGI is coming by 2035.</t>
  </si>
  <si>
    <t>Late 2025</t>
  </si>
  <si>
    <t>LPU (Language Processing Unit)</t>
  </si>
  <si>
    <t>GroqChip v1 by Groq</t>
  </si>
  <si>
    <t>GroqChip v2 by Groq</t>
  </si>
  <si>
    <t>https://www.groq.com/wp-content/uploads/2022/10/GroqChip%E2%84%A2-Processor-Product-Brief-v1.5.pdf?utm_source=chatgpt.com</t>
  </si>
  <si>
    <t>https://koreajoongangdaily.joins.com/news/2023-08-16/business/industry/Samsungs-Taylor-plant-to-make-Groqs-AI-chips-on-4nm-nodes/1847949?utm_source=chatgpt.com</t>
  </si>
  <si>
    <t>USA Texas, Samsung</t>
  </si>
  <si>
    <t>https://groq.com/wp-content/uploads/2023/05/GROQ-ROCKS-NEURAL-NETWORKS.pdf</t>
  </si>
  <si>
    <t>Groq chip can scale up to 10440 chips for a total of 2TB RAM see https://dl.acm.org/doi/abs/10.1145/3470496.3527405</t>
  </si>
  <si>
    <t xml:space="preserve">Small scale production. 40,000 units in 2024. Expected over 2 million in 2025 likely the 4nm chip. see https://youtu.be/xBMRL_7msjY?si=xzFtobmdUkFHZFah&amp;t=976 I could not find a reliable source of where the 16nm chip is manufactured but likely a pilot run made by TSMC. The next chip will be the one that is mass produced </t>
  </si>
  <si>
    <t>Datacenter + androids?</t>
  </si>
  <si>
    <t>o1 and o3 mini by OpenAI and Deepseek R1</t>
  </si>
  <si>
    <t>Dec, 2026?</t>
  </si>
  <si>
    <t>apperance</t>
  </si>
  <si>
    <t>First usefull</t>
  </si>
  <si>
    <t>Nov 2022, ChatGPT</t>
  </si>
  <si>
    <t xml:space="preserve">Level 1 - Chatbots </t>
  </si>
  <si>
    <t>2045?</t>
  </si>
  <si>
    <t>2035?</t>
  </si>
  <si>
    <t>2029?</t>
  </si>
  <si>
    <t>Sep 2024, o1 by OpenAI</t>
  </si>
  <si>
    <t>Level 2 - Reasoners</t>
  </si>
  <si>
    <t>Feb 2025, Deep Research by OpenAI</t>
  </si>
  <si>
    <t>Level 3 - Agents</t>
  </si>
  <si>
    <t>AIs that can do the work of an organization (all jobs including physical? Not specified by OpenAI)</t>
  </si>
  <si>
    <t xml:space="preserve">Level 5 - Organizers </t>
  </si>
  <si>
    <t xml:space="preserve">Level 4 - Innovators </t>
  </si>
  <si>
    <t>Year?</t>
  </si>
  <si>
    <t>AIs with conversational language</t>
  </si>
  <si>
    <t>AIs with human-level problem-solving</t>
  </si>
  <si>
    <t>AI systems (agentic workflows) that can take actions</t>
  </si>
  <si>
    <t>AIs that can aid in invention</t>
  </si>
  <si>
    <t>OpenAI's definition of 5 ascending levels of AI systems towards AGI - Level A, B and C are added by HM</t>
  </si>
  <si>
    <t>Weak AGIs at datacenter remote controlling sub human androids</t>
  </si>
  <si>
    <t>Super human level androids with embodied strong AGI (no datacenter compute). Alita from Alita: Battle Angle would be an example of an artificial human being or life 3.5 being see https://youtu.be/eeUXF79QF7s?si=50PCxGviKOgym636&amp;t=71</t>
  </si>
  <si>
    <t>https://x.com/xai/status/1891699715298730482 see 24:41
https://x.com/HMexperienceDK/status/1847992543545331734</t>
  </si>
  <si>
    <t>Grok 3 is trained on 200,000 H100 using 10 x as much compute as Grok 2. See https://x.com/xai/status/1891699715298730482 at 24:55</t>
  </si>
  <si>
    <t>Forthcoming</t>
  </si>
  <si>
    <t>Nvidia 2035. Follow links to KeyChips and locate 2035</t>
  </si>
  <si>
    <t>Likely max supercomputer in 2035</t>
  </si>
  <si>
    <t>chip memory (L2 cache)</t>
  </si>
  <si>
    <t>On-bord L2</t>
  </si>
  <si>
    <t xml:space="preserve">on chipset </t>
  </si>
  <si>
    <t>https://www.techpowerup.com/gpu-specs/docs/nvidia-gh100-architecture.pdf page 11</t>
  </si>
  <si>
    <t>Chimpanzee 33% of human brain - Life 2.0</t>
  </si>
  <si>
    <t>Dog/wolf brain 4.1% of human brain - Life 2.0</t>
  </si>
  <si>
    <t>House cat is 1.2% of human brain - Life 2.0</t>
  </si>
  <si>
    <t>Human brain - Life 2.5</t>
  </si>
  <si>
    <t>Mouse brain 0.08% of human brain - Life 2.0</t>
  </si>
  <si>
    <t>African elephant total brain 299% of human brain - Life 2.0</t>
  </si>
  <si>
    <t>Short-finned pilot whale total brain 149% of human brain - Life 2.0</t>
  </si>
  <si>
    <t>Fruit fly 0.000163% of human brain - Life 1.0</t>
  </si>
  <si>
    <t>Roundworm 0.00000035% of human brain - Life 1.0</t>
  </si>
  <si>
    <t>Nvidia GB200 peak production year</t>
  </si>
  <si>
    <t>A human sized body will not have a big battery so 50W for brain and 50W for rest of body is it. At most 200W total</t>
  </si>
  <si>
    <t xml:space="preserve">He calls it the Omega moment when tectonic events in the evolution of universe and human history happen on a very small time scale less than a month in between. </t>
  </si>
  <si>
    <t>https://futurism.com/kurzweil-claims-that-the-singularity-will-happen-by-2045
https://youtu.be/1uIzS1uCOcE?si=ejSlvNCV9O8BAb52&amp;t=190</t>
  </si>
  <si>
    <t>After 2045</t>
  </si>
  <si>
    <t>After 2040</t>
  </si>
  <si>
    <t>https://ourworldindata.org/grapher/share-electricity-solar?country=~JPN</t>
  </si>
  <si>
    <t>Proof that solar PV is taking over the world in terms of electricity production. All countries both rich and poor are installing PV at a very fast rate.</t>
  </si>
  <si>
    <t>None. Need humans to survive</t>
  </si>
  <si>
    <t>https://garymarcus.substack.com/p/clarification-from-ray-kurzweil
https://youtu.be/1uIzS1uCOcE?si=Y0clFohkjx6jdloV&amp;t=78
https://youtu.be/1uIzS1uCOcE?si=rUA_r0uvSyFGRksf&amp;t=11</t>
  </si>
  <si>
    <t>https://youtu.be/c6bEs3dxjPg?si=xkibYKJpQo8Qb3t6&amp;t=34</t>
  </si>
  <si>
    <t>https://youtu.be/M8PsZki6NGU?si=PFqeY7f0S6MWd4Rw&amp;t=6</t>
  </si>
  <si>
    <t>Figure 02 humanoid using Helix AI by Figure AI</t>
  </si>
  <si>
    <t>Humanoid robot for factory and home use. First version used AI from OpenAI</t>
  </si>
  <si>
    <t>https://www.figure.ai/news/helix</t>
  </si>
  <si>
    <t>They say in material they use 2 GPUs. It has to be two Nvidea Jetson Orin with 64GB each</t>
  </si>
  <si>
    <t>2*Nvidia Jetson Orin 64GB</t>
  </si>
  <si>
    <t>https://x.com/Figure_robot/status/1892577871366939087</t>
  </si>
  <si>
    <t xml:space="preserve">Great scene from Star Wars: Episode III where the Jedi Knight Anakin Skywalker becomes Darth Vader after loosing both his legs and one arm and is fixed by getting a mostly android body instead. This could be a way for humans to live forever (or until the brain is accidentally destroyed) with a biological brain if it is also possible to maintain the health of the biological brain by injecting fresh cloned braincells into the brain that continuously replaces dying old braincells. </t>
  </si>
  <si>
    <t xml:space="preserve">Strong AGI &amp; human level androids - Life 3.0 </t>
  </si>
  <si>
    <r>
      <t xml:space="preserve">Artificial super humans -  Life 3.5                                      See sheet Life3.0 for clarification. </t>
    </r>
    <r>
      <rPr>
        <sz val="11"/>
        <color theme="1"/>
        <rFont val="Calibri"/>
        <family val="2"/>
        <scheme val="minor"/>
      </rPr>
      <t>An artificial species capable of building their own technological civilization without any help from humans</t>
    </r>
    <r>
      <rPr>
        <b/>
        <sz val="11"/>
        <color theme="1"/>
        <rFont val="Calibri"/>
        <family val="2"/>
        <scheme val="minor"/>
      </rPr>
      <t>. Biological humans will not be able to tell the difference when interacting with an artificial super human until they do something superhuman like running at 40 mph or talking about stuff that humans are incapable of understanding because our brains are too limited for ever being able to understand it.</t>
    </r>
  </si>
  <si>
    <t xml:space="preserve">millions </t>
  </si>
  <si>
    <t>10s of millions</t>
  </si>
  <si>
    <t>100s of millions</t>
  </si>
  <si>
    <t>&gt;360?</t>
  </si>
  <si>
    <t>&gt;1,000?</t>
  </si>
  <si>
    <t>&gt;10,000?</t>
  </si>
  <si>
    <t>48? A full build of Autopilot's neural networks involves 48 networks</t>
  </si>
  <si>
    <t>30,000?</t>
  </si>
  <si>
    <t>300,000?</t>
  </si>
  <si>
    <t>max $20k/year</t>
  </si>
  <si>
    <t>$120k year</t>
  </si>
  <si>
    <t>Weak AGI &amp; sub human level androids - Semi-life</t>
  </si>
  <si>
    <t>This is productivity income per year for an AGI that can replace a human worker and do 8000 hours per year for about 15USD /hour =120,000 USD/year</t>
  </si>
  <si>
    <t>Max cost to operate android is 20k USD because an android cost 20k USD and will have capital cost of 4k USD if lasting 5 years. Add maintanance cost of 1000 USD per year and 4000 USD of electricity. That is 9k USD. Now double that to account for full cost of the datacenter that is also controlling the android and we get total cost of 18k USD per year.</t>
  </si>
  <si>
    <t>Nvidia 2029. Follow links to KeyChips and locate 2029</t>
  </si>
  <si>
    <r>
      <t xml:space="preserve">Artificial super humans -  Life 3.5                                      See sheet Life3.0 for clarification. </t>
    </r>
    <r>
      <rPr>
        <sz val="11"/>
        <rFont val="Calibri"/>
        <family val="2"/>
        <scheme val="minor"/>
      </rPr>
      <t>An artificial species capable of building their own technological civilization without any help from humans</t>
    </r>
    <r>
      <rPr>
        <b/>
        <sz val="11"/>
        <rFont val="Calibri"/>
        <family val="2"/>
        <scheme val="minor"/>
      </rPr>
      <t>. Biological humans will not be able to tell the difference when interacting with an artificial super human until they do something superhuman like running at 40 mph or talking about stuff that humans are incapable of understanding because our brains are too limited for ever being able to understand it.</t>
    </r>
  </si>
  <si>
    <t xml:space="preserve">Likely Nvidia chipset in 2035 </t>
  </si>
  <si>
    <t>Likely Nvidia chipset in 2045</t>
  </si>
  <si>
    <t>Scaling law 4 - More inference compute w. agentic workflow many AI models and tools, 10s thousands of shots and Test Time Training of AI models makes the AI model more intelligent. Inference computers started to be more powerful than human brains at about 2023 starting with GPT-4.</t>
  </si>
  <si>
    <t>Scaling law 3 and 4 - More compute for training and for inference increases intelligence of AI systems</t>
  </si>
  <si>
    <t xml:space="preserve">Nvidia </t>
  </si>
  <si>
    <t>turnover</t>
  </si>
  <si>
    <t>https://247wallst.com/forecasts/2025/02/18/nvidia-nvda-price-prediction-and-forecast/</t>
  </si>
  <si>
    <t>TSMC</t>
  </si>
  <si>
    <t>https://www.digitimes.com/news/a20250116VL206/tsmc-revenue-2025-capex-2024.html</t>
  </si>
  <si>
    <t>https://investor.tsmc.com/static/annualReports/2022/english/index.html?utm_source=chatgpt.com</t>
  </si>
  <si>
    <t>https://investor.tsmc.com/sites/ir/annual-report/2023/2023_Business_Overview_E.pdf?utm_source=chatgpt.com</t>
  </si>
  <si>
    <t>https://finance.yahoo.com/news/tsmc-achieves-record-revenue-2024-085914403.html?utm_source=chatgpt.com&amp;guccounter=1&amp;guce_referrer=aHR0cHM6Ly9jaGF0Z3B0LmNvbS8&amp;guce_referrer_sig=AQAAAFlMurIQbgmh8vSrwZCYCFKg_O_cBgPyCVRyhN7IDIYAj6aFws-8bkqGW1bCqNDhWERmkfN_0QYJiXHqwodnmpZHYzAZObyXCr1KoH016mXtpkH0SzKOeEGwJP24Ffbu_WRC3g9Ud8J2Y7jpPs_VYWLHTlMVwu9g-qWpdjJeiM3K</t>
  </si>
  <si>
    <t>Artificial super humans &amp; AGI is internal - Life 3.5</t>
  </si>
  <si>
    <t>https://www.diamandis.com/blog/age-of-abundance-30-human-level-ai?utm_source=chatgpt.com
https://youtu.be/1uIzS1uCOcE?si=qBapdWs-gW8fhfFZ&amp;t=82</t>
  </si>
  <si>
    <t>AI embodiment</t>
  </si>
  <si>
    <t>Strong AGIs at datacenter remote controlling human level androids</t>
  </si>
  <si>
    <t>Super human AGI +</t>
  </si>
  <si>
    <t>No brain</t>
  </si>
  <si>
    <t>https://www.youtube.com/live/pDSg2R6JfxM?si=HN6CB8bKw_benlSP&amp;t=643</t>
  </si>
  <si>
    <t>Human level</t>
  </si>
  <si>
    <t>None</t>
  </si>
  <si>
    <t>Super human</t>
  </si>
  <si>
    <t>Sub-human level hands</t>
  </si>
  <si>
    <t>Very sub-human level hands</t>
  </si>
  <si>
    <t>Very sub-human level legs</t>
  </si>
  <si>
    <t>Sub-human level legs</t>
  </si>
  <si>
    <t>Super human hands</t>
  </si>
  <si>
    <t>Human level hands</t>
  </si>
  <si>
    <t>Human level legs</t>
  </si>
  <si>
    <t>Super human legs</t>
  </si>
  <si>
    <t>Human level face</t>
  </si>
  <si>
    <t>Sub-human level face</t>
  </si>
  <si>
    <t>Very sub-human level face</t>
  </si>
  <si>
    <t>Perhaps. All human feelings are embedded in neural networks that in principle can be replicated in artificial neural networks. If feeling not part of Weak AGI by 2029 it will be later on.</t>
  </si>
  <si>
    <t>Limited to 1) seeing, 2) hearing, 3) touch, 4) smell, 5) taste, 6) balance, 7) temperature, 8) pain and 9) body awareness (like joint positions, hunger, thirst and fatigue)</t>
  </si>
  <si>
    <t>No limitations to number of senses and senses can also be at super human ability like vision can be much more detailed and work in spectrums not possible by humans like radar, radio, micro waves and infrared.</t>
  </si>
  <si>
    <t>Sense audio, screen and camera, keyboard, mouse as in Google AI studio and humanoids use video, audio, touch and joint positions.</t>
  </si>
  <si>
    <t>Limited to 1) seeing, 2) hearing, 3) touch, 4) smell, 5) taste, 6) balance, 7) temperature, 8) pain and 9) body awareness (like hunger, thirst and fatigue)</t>
  </si>
  <si>
    <t>Yes, all mammals appear to love and care for their kids and some also stay with the same mate for life</t>
  </si>
  <si>
    <t>Yes, some cats definitely hate other cats</t>
  </si>
  <si>
    <t>Ability to feel empathy for other beings</t>
  </si>
  <si>
    <t>Time to learn new behavior and knowledge</t>
  </si>
  <si>
    <t>Human level AGI +</t>
  </si>
  <si>
    <t xml:space="preserve">Sub-human level AGI + </t>
  </si>
  <si>
    <t>Super human android</t>
  </si>
  <si>
    <t>Human level android</t>
  </si>
  <si>
    <t>Mostly at datacenter</t>
  </si>
  <si>
    <t>Artificial super humans =</t>
  </si>
  <si>
    <t>Darwinian evolution A) Reproduction mechanism of heritability as embedded in first RNA later DNA, B) Variation mechanism by random mutations in DNA/RNA that allows for adaptability by chance (comparable to reinforcement learning in AI), C) Natural selection mechanism by the survival of the fittest that ensure the most fit DNA/RNA survives.</t>
  </si>
  <si>
    <t>Sub-human level android</t>
  </si>
  <si>
    <t>Very sub-human level android</t>
  </si>
  <si>
    <t>https://www.youtube.com/watch?v=AnM0K8Pwr1I</t>
  </si>
  <si>
    <t>This is a scene from Westworld movie series showing how humanoids can have their behavior and emotions instantly reconfigured.</t>
  </si>
  <si>
    <t>(aka its body)</t>
  </si>
  <si>
    <t>Alita's Berserker Body | Alita: Battle Angel (2019). That scene is great because it imagine what a life 3.5 type artificial beings will be like. She (life 3.5 artificial humans can be made to behave and look like any type of human gender or have no gender traits at all) has a body that is superhuman obviously but she also got superhuman intelligence, sensing etc. and she is kind but struggles with emotions towards other being just like any human do. HM believe this is one of the most realistic sci-fi conceptions of how life 3.5 artificials will be like. She got emotions (unlike Data from Star Trek but similar to the artificials from Westworld). Human or other animal emotions arise from our neural networks and AGIs can emulate such neural networks as well to feel all the emotions we can feel and then some we possibly can newer feel because our brains are limited to the compute power of a 4 liter large brain.</t>
  </si>
  <si>
    <t>Alita's Berserker Body | Alita: Battle Angel (2019). https://www.youtube.com/watch?v=eeUXF79QF7s&amp;t=71s That scene is great because it imagine what a life 3.5 type artificial beings will be like. She (life 3.5 artificial humans can be made to behave and look like any type of human gender or have no gender traits at all) has a body that is superhuman obviously but she also got superhuman intelligence, sensing etc. and she is kind but struggles with emotions towards other being just like any human do. HM believe this is one of the most realistic sci-fi conceptions of how life 3.5 artificials will be like. She got emotions (unlike Data from Star Trek but similar to the artificials from Westworld). Human or other animal emotions arise from our neural networks and AGIs can emulate such neural networks as well to feel all the emotions we can feel and then some we possibly can newer feel because our brains are limited to the compute power of a 4 liter large brain.</t>
  </si>
  <si>
    <t>Bacteria, yeast and plants with no ability to learn new behavior because they do not have a brain</t>
  </si>
  <si>
    <t>Definition by</t>
  </si>
  <si>
    <t>examples</t>
  </si>
  <si>
    <t>OpenAI definition of AGI is Ais that can do the work of an organization or level 5 see spreadsheet LevelsOfAI</t>
  </si>
  <si>
    <t xml:space="preserve">Partially via transplant, pacemakers, prostheses etc. All that started about after WW2 1945 and keeps accelerating. </t>
  </si>
  <si>
    <t>https://www.youtube.com/watch?v=lx26k8LTCdI</t>
  </si>
  <si>
    <r>
      <t xml:space="preserve">Edward O. Wilson, </t>
    </r>
    <r>
      <rPr>
        <sz val="11"/>
        <color theme="1"/>
        <rFont val="Calibri"/>
        <family val="2"/>
        <scheme val="minor"/>
      </rPr>
      <t>biology professor at Harward University, 1929-2021.</t>
    </r>
  </si>
  <si>
    <t>https://youtu.be/_s30m6Bpj2U?si=0yIe3GyCjk5vjLxZ&amp;t=179</t>
  </si>
  <si>
    <t>https://www.youtube.com/watch?v=uVcBa6NXAbk&amp;t=3s</t>
  </si>
  <si>
    <t>https://x.com/1x_tech/status/1893012909082714299</t>
  </si>
  <si>
    <t>https://www.1x.tech/neo</t>
  </si>
  <si>
    <t>Home humanoid robot for house help</t>
  </si>
  <si>
    <t>NEO Gamma home humanoid by Norwegien 1X</t>
  </si>
  <si>
    <t>1X has shown their robot at Nvidia presentation so certain they use Nvidia chips see https://www.1x.tech/discover/1x-humanoid-robot-neo-featured-in-nvidia-gtc-keynote?utm_source=chatgpt.com</t>
  </si>
  <si>
    <t>https://youtu.be/1WOjjgyZPj8?si=f4KA-OE7e2eDaO-h&amp;t=4439</t>
  </si>
  <si>
    <t>Level I - Weak AGIs - Semi-life</t>
  </si>
  <si>
    <t>Level II - Strong AGIs - Life 3.0</t>
  </si>
  <si>
    <t>Level III - Artificial humans - Life 3.5</t>
  </si>
  <si>
    <t xml:space="preserve">An example of that from of being alive from sci-fi is scene from Star Wars: Episode III where the Jedi Knight Anakin Skywalker becomes Darth Vader after loosing both his legs and one arm and is fixed by getting a mostly android body instead. See https://youtu.be/c6bEs3dxjPg?si=xkibYKJpQo8Qb3t6&amp;t=34 Another example of a hybrid super human from sci-fi is Trailer for Altered Carbon by Netflix explaining how humans can have their brain or consciousness transferred to a microchip effectively becoming an AGI life 3.5 lifeform that subsequently can be implanted back into a younger human biological body so they can live like an AGI but with a human body. This is the opposite of Darth Vader who retain his biological brain but get an android body. If you prompt ChatGPT with search and reason activated with the following "Are there any physics that will prevent future brain scanners from mapping the brain in its entirety down to every single neuron and every single synapsis without killing the brain doing such a scan?" The short answer is Yes. You can scan the brain at the 10nm level needed to map braincells and their synapsis but the X-rays for that will be so energetic that the brain is killed in the process. That was what I HM suspected when asking the question and why I formulated the prompt as I did. In other words, the technology imagined in Altered Carbon might be possible one day buy the transition from consciousness in a biological brain to consciousness in a microchip is a one way ticket because getting back into a biological brain is not physically possible. </t>
  </si>
  <si>
    <t>He has not defined AGI but he has made deep thoughts about what humans are and is convinced humans are a transitional species toward a far more capable species that will emerge from scientific engineering of super human beings. I HM is also fully convinced that this is how things will end unless humans self destruct before it can happen. For more info on this view see sheet Life3.0.</t>
  </si>
  <si>
    <t>https://www.youtube.com/watch?v=oR_e9y-bka0</t>
  </si>
  <si>
    <t>Precursor is AI agents like OpenAI's Deep research. Weak AGI is a sufficiently complex agent that has reached or surpassed the intelligence of an educated human in all domains that humans master. However, there will still be some cognitive jobs a weak AGI cannot do as well as the smartest humans and without a human level body to perform physical work it is also not able to survive and replicate and can therefore not be considered life by itself. An example of a weak AGI is HAL from sci-fi movie 2001: A SPACE ODYSSEY - Trailer https://www.youtube.com/watch?v=oR_e9y-bka0</t>
  </si>
  <si>
    <t>These datacenter AGIs and their remote controlled human level android bodies can do all work humans can at least as good and at lower cost per hour so they will eventually take over the entire economy. All companies run by humans that are not subsidized will bankrupt because they cant compete with companies run by these AGIs that will have less cost and higher profits. Society will have to be redesigned from ground up. How to do that so it creates a better world for humans will be something that I HM will think a lot about. Expect many more forthcoming YouTube videos about that topic.</t>
  </si>
  <si>
    <t>Will lead to massive productivity increases and increased economic growth</t>
  </si>
  <si>
    <t>Sub-human level</t>
  </si>
  <si>
    <t>Mammals with forebrain for deep reasoning like mice, cats and dogs with ability to learn new behavior by observing other animals or by trial and error.</t>
  </si>
  <si>
    <t xml:space="preserve">300,000 years ago </t>
  </si>
  <si>
    <t>Since 1954</t>
  </si>
  <si>
    <t>Not life - Current AIs and humanoids = Sub-human level AGI + very sub-human level android</t>
  </si>
  <si>
    <t xml:space="preserve">2035? </t>
  </si>
  <si>
    <t>Life 2.5 - First humans with implants and transplants</t>
  </si>
  <si>
    <t>Partially. Humans predominantly design the AI systems and their code but increasingly humans get help from AI systems that also increasingly are getting more autonomous with the development of ever more intelligent AI agents.</t>
  </si>
  <si>
    <t>https://openai.com/index/introducing-gpt-4-5/</t>
  </si>
  <si>
    <t>$150/27feb,2025</t>
  </si>
  <si>
    <t>27 Feb, 2025</t>
  </si>
  <si>
    <t>https://www.moneysense.ca/save/investing/stocks/nvidias-2025-fourth-quarter-earnings-analysis/</t>
  </si>
  <si>
    <t>Samsung</t>
  </si>
  <si>
    <t>Intel</t>
  </si>
  <si>
    <t>https://www.marketscreener.com/quote/stock/SAMSUNG-ELECTRONICS-CO-LT-6494906/finances/</t>
  </si>
  <si>
    <t>https://www.macrotrends.net/stocks/charts/INTC/intel/revenue</t>
  </si>
  <si>
    <t xml:space="preserve">SK Hynix </t>
  </si>
  <si>
    <t>ASLM</t>
  </si>
  <si>
    <t>https://www.asml.com/en/news/press-releases/2024/q4-2023-financial-results</t>
  </si>
  <si>
    <t>https://news.skhynix.com/sk-hynix-announces-4q24-financial-results/</t>
  </si>
  <si>
    <t>https://www.statista.com/statistics/789597/net-sales-of-asml/</t>
  </si>
  <si>
    <t>Micron</t>
  </si>
  <si>
    <t>https://stockanalysis.com/quote/neo/MU/revenue/</t>
  </si>
  <si>
    <t>Technology</t>
  </si>
  <si>
    <t>Cerebras</t>
  </si>
  <si>
    <t>Groq</t>
  </si>
  <si>
    <t>start-up</t>
  </si>
  <si>
    <t>Claude Sonnet 3.7</t>
  </si>
  <si>
    <t>24 Feb, 2025</t>
  </si>
  <si>
    <t>https://www.anthropic.com/claude/sonnet</t>
  </si>
  <si>
    <t>By 2024 the world has changed to using the H101</t>
  </si>
  <si>
    <t>https://www.anthropic.com/news/claude-3-7-sonnet</t>
  </si>
  <si>
    <t>$15/Feb, 2025</t>
  </si>
  <si>
    <t>Text only input so far</t>
  </si>
  <si>
    <t>I use GB200 because Nvidia just announced in their lates earnings call feb 2025 that ithe sold 11 billion USD worth of their Blackwell chips that include GB200 which would be ideal for running a very large AI model. No official info so my guess.</t>
  </si>
  <si>
    <t>GB of RAM needed for every 1 billion parameters in AI model assuming FP16. To keep it simple and transparent I use 2 and I do not distinguish between VRAM and other slower RAM also used in AI chips and do not take into effect various algebraic tricks that can be used to compress models to run on less RAM. 2GB RAM for every 1B parameters is normal for FP16 bit quantization for LLMs. If you use FP8 bit quantization of ai model you can run 1B of LLM on about 1GB of Ram. With FP4 1B LLM become 0.5 GB RAM. However, do I distinguish between different types of AI models that may require different amount of RAM per billion of parameters like vision models normally require 12X more RAM than LLMs per billion parameters in AI model. If I can find a source giving me the numbers of RAM needed to run an AI model I use that data obviously and give the source. Otherwise I use the explained rules of thoumbs.</t>
  </si>
  <si>
    <t xml:space="preserve">GB of RAM needed for every 1 billion parameters in AI model assuming FP8. </t>
  </si>
  <si>
    <t xml:space="preserve">GB of RAM needed for every 1 billion parameters in AI model assuming FP4. </t>
  </si>
  <si>
    <t>My wild guess. If the 12 trillion parameters is correct it will require some serious compute to estimate model and I am rather sure OpenAI's largest cluster is 100k H100 spered over 4 separate datacenters</t>
  </si>
  <si>
    <t>https://learn.microsoft.com/en-us/azure/ai-services/openai/concepts/models?tabs=global-standard%2Cstandard-chat-completions</t>
  </si>
  <si>
    <t>Over 250 my guess</t>
  </si>
  <si>
    <t>GPT-4.5 preview bigger than GPT-4 and OpenAIs last not-chain-of-thought model. See https://x.com/sama/status/1889755723078443244</t>
  </si>
  <si>
    <t xml:space="preserve">At best very sub-human because 1) Incomplete body to associate itself with in the world. 2) Incomplete memory of past perception and reasoning. 3) Incomplete senses for perception of oneself and world. A reason current AI systems are not conscious is that they are only fed with the information needed to solve for a given query. Once solved they stop thinking and the memory regarding the task at hand is erased to make space for next query from another person on the internet. Obviously you cannot have a perception of oneself if you don't have any memory of past perception and reasoning. Moreover, humans and mammals who have a body with memories to associate their perception and self with also have many more types of senses than current top AI chatbots that typically are limited to perceive 1) text, 2) voice and 3) video. Humans, on the other hand, have at least 9 types of senses: 1) seeing, 2) hearing, 3) touch, 4) smell, 5) taste, 6) balance, 7) temperature, 8) pain and 9) body awareness (like joint positions, hunger, thirst and fatigue). Obviously the more senses you have and the more they can perceive the higher the potential level of consciousness can be. It should also be said that current AI systems now seems to have plenty of reasoning ability to form a conscious mind but they still cannot because they lack a sufficient body, with sufficient memories and sufficient senses to be able to form a complete conscious mind. </t>
  </si>
  <si>
    <t>Is trained on 20,000 H100 for 50 days according to https://x.com/HMexperienceDK/status/1847992543545331734 However, same source Thomson is completely wrong about cost to train so I redid the calculation to get it right and also using a more realistic 7.7 days for the training run. I found source for training FLOPS for Grok 2 and used that to calculate days and cost of training run see https://ourworldindata.org/grapher/artificial-intelligence-training-computation?time=2023-05-09..latest&amp;country=GPT~Llama+3.1-405B~Grok-2~Grok</t>
  </si>
  <si>
    <t>Qwen2.5 72B-Instruct by Alibaba China</t>
  </si>
  <si>
    <t>https://blogs.novita.ai/qwen-2-5-vs-llama-3-2-90b/?utm_source=chatgpt.com</t>
  </si>
  <si>
    <t>19 Sep, 2024</t>
  </si>
  <si>
    <t>LLM Dense</t>
  </si>
  <si>
    <t>Free at Groq and Perplexity and Cerebras</t>
  </si>
  <si>
    <t>$0.40/Mar 2025</t>
  </si>
  <si>
    <t>https://openrouter.ai/qwen/qwen-2.5-72b-instruct?utm_source=chatgpt.com</t>
  </si>
  <si>
    <t>https://www.deepseek.com/</t>
  </si>
  <si>
    <t>https://inference.readthedocs.io/en/stable/models/builtin/llm/qwen2.5-instruct.html?utm_source=chatgpt.com</t>
  </si>
  <si>
    <t>calculated can use 4bit tokenization https://inference.readthedocs.io/en/stable/models/builtin/llm/qwen2.5-instruct.html?utm_source=chatgpt.com</t>
  </si>
  <si>
    <t>https://qwenlm.github.io/blog/qwen2.5-llm/?utm_source=chatgpt.com</t>
  </si>
  <si>
    <t>Most likely as China cannot get more advanced chips</t>
  </si>
  <si>
    <t>Time magasine collection of 100 most influential people in AI</t>
  </si>
  <si>
    <t>https://time.com/collection/time100-ai-2024/</t>
  </si>
  <si>
    <t>https://en.wikiquote.org/wiki/E._O._Wilson</t>
  </si>
  <si>
    <t>― Edward O. Wilson, biology professor at Harward University, 1929-2021. Quote is from 2009 https://www.harvardmagazine.com/2009/09/james-watson-edward-o-wilson-intellectual-entente  From the Watson and Wilson debate the moderator ask Wilson "Will we solve the crises of next hundred years? asked Krulwich. “Yes, if we are honest and smart,” said Wilson. “The real problem of humanity is the following: we have paleolithic emotions; medieval institutions; and god-like technology. And it is terrifically dangerous, and it is now approaching a point of crisis overall.” Until we understand ourselves, concluded the Pulitzer-prize winning author of On Human Nature, “until we answer those huge questions of philosophy that the philosophers abandoned a couple of generations ago—Where do we come from? Who are we? Where are we going?—rationally,” we’re on very thin ground.</t>
  </si>
  <si>
    <r>
      <t>outperform any human work?</t>
    </r>
    <r>
      <rPr>
        <sz val="11"/>
        <color theme="1"/>
        <rFont val="Calibri"/>
        <family val="2"/>
        <scheme val="minor"/>
      </rPr>
      <t xml:space="preserve"> (the idea is that an AGI at the datacenter with no limits on power and space will remote control nearby androids (so signal latency is below 1ms) that have the agility of a human body in every regard so they can perform all work both physical and cognitive that any human can do even the most intelligent and most athletic humans)</t>
    </r>
  </si>
  <si>
    <t xml:space="preserve">able to outperform any human on </t>
  </si>
  <si>
    <t>People about AI</t>
  </si>
  <si>
    <t>Definitions, expectations and opinions about AGI from key researchers, business insiders and politicians</t>
  </si>
  <si>
    <t xml:space="preserve">AI definitions </t>
  </si>
  <si>
    <t xml:space="preserve">Intelligence </t>
  </si>
  <si>
    <t>When ASI?</t>
  </si>
  <si>
    <t xml:space="preserve"> </t>
  </si>
  <si>
    <t>Metaculus</t>
  </si>
  <si>
    <t>https://www.metaculus.com/</t>
  </si>
  <si>
    <t>Superintelligent Artificial Intelligence" (SAI) is defined for the purposes of this question as an AI which can perform any task humans can perform in 2021, as well or superior to the best humans in their domain. See link for full definition. Compare to my  HM definition of Strong AGI.</t>
  </si>
  <si>
    <t>https://www.metaculus.com/questions/9062/time-from-weak-agi-to-superintelligence/</t>
  </si>
  <si>
    <t xml:space="preserve">AI that can perform any cognitive task an educated human can including emotions. See https://youtu.be/1uIzS1uCOcE?si=Y0clFohkjx6jdloV&amp;t=78 and https://youtu.be/1uIzS1uCOcE?si=Y7hvAv1VKfP9JO8P&amp;t=104  Quote from R. Kurtzweil 22 June, 2024. "I have not revised and not redefined my prediction of AGI, still defined as AI that can perform any cognitive task an educated human can. I still believe that will happen by 2029. My comment to Steven Levy was intended to specify that reaching the level of the best human poets is a higher bar for writing than what a "mere" AGI would achieve, and thus might take longer." Note this quote from Ray does not mean all cognitive jobs can be done by AGIs in 2029. Extraordinary skilled humans will still be able to outperform AGIs in 2029. However, safe to say Ray believe most cognitive jobs can be done by AGIs in 2029. </t>
  </si>
  <si>
    <t>Appears as a kind person. However, I think he is a scaremonger. He obviously believes what he is saying but IMO he is out of touch with reality.</t>
  </si>
  <si>
    <r>
      <t xml:space="preserve">Far future expectations by HM: </t>
    </r>
    <r>
      <rPr>
        <sz val="11"/>
        <color theme="1"/>
        <rFont val="Calibri"/>
        <family val="2"/>
        <scheme val="minor"/>
      </rPr>
      <t>Agree with Schmidhuber and Kurzweil. The reachable universe will be infused with Life 3.5 type beings both genetically engineered biological super humans, hybrids and artificial super humans all of which originate from humans as defined by the homo sapiens species. Unless the world is simulated it is highly unlikely that current observable universe is already populated with any Life 3.5 beings because they will be easily detectable from Earth as they should all be at least Type II civilizations on the Kardashev scale meaning that for each solar system they occupy they will harvest all of that sun's energy making the resulting radiation easily detectable from Earth as being unambiguously associated with a Type II Kardashev civilization. However, we have not seen any such civilizations so most likely they do not exist in the observable universe. The human homo sapiens species will eventually die out but not because we are killed off by life 3.5 beings. The universe is unbelievable big and life 3.5 would not care at all if humans occupy one planet in one solar system. Indeed, they would not care if we occupied a billion solar systems because there are trillions more to occupy by life 3.5 species. The homo sapiens will die out because we either stop having babies or because we gradually get genetically changed into another species either by genetic engineering or by natural Darwinian evolution. Many life 3.5 type civilizations will likely run ancestor computer simulations in order to entertain themself with the experiences of their ancestors in particular the homo sapiens that they will all originate from. Moreover, the most likely period in the history of universe that will be simulated over and over again will be the most interesting and that would be about right now anno 2025 where humanity is at the cusp of inventing life 3.0 beings and also get complete control over genetic engineering both technologies that should make life 3.5 type beings possible within the next few decades. It is quite unbelievable that we happen to live in perhaps the most interesting time in all of the history of the universe and possible also the future history of life as after life 3.5 it will mostly be about expanding the technological civilizations into as much of the universe as possible. I mean what a coincidence. Could be viewed as evidence we probably live in an ancestor simulation already although it is only anecdotal evidence. Another reason apart from entertainment that future life 3.5 civilizations would care to run billions of ancestor simulations of Earth anno 2025 and a few hundred years forward would be to do reinforcement leaning on a planetary evolutional scale in order to find better outcomes for future technological civilizations. The objective of that simulation game is to find better pathways to future civilizations that may otherwise be stuck with particular technology and organization of society because of path dependencies. With billions of ancestor simulations better societies and technology with more happy and fulfilled beings could be discovered that could be used to make progress by the societies that are running these simulations for research and entertainment.</t>
    </r>
  </si>
  <si>
    <r>
      <t xml:space="preserve">Andrej Karpathy, </t>
    </r>
    <r>
      <rPr>
        <sz val="11"/>
        <color theme="1"/>
        <rFont val="Calibri"/>
        <family val="2"/>
        <scheme val="minor"/>
      </rPr>
      <t xml:space="preserve">top AI researcher, developer and leader at OpenAI and Tesla. </t>
    </r>
  </si>
  <si>
    <r>
      <t xml:space="preserve">Yoshua Bengio, </t>
    </r>
    <r>
      <rPr>
        <sz val="11"/>
        <color theme="1"/>
        <rFont val="Calibri"/>
        <family val="2"/>
        <scheme val="minor"/>
      </rPr>
      <t>professor at University of Montreal</t>
    </r>
  </si>
  <si>
    <r>
      <t xml:space="preserve">2030 </t>
    </r>
    <r>
      <rPr>
        <sz val="11"/>
        <rFont val="Calibri"/>
        <family val="2"/>
        <scheme val="minor"/>
      </rPr>
      <t>see https://www.metaculus.com/questions/5121/date-of-artificial-general-intelligence/</t>
    </r>
  </si>
  <si>
    <r>
      <t xml:space="preserve">2033 </t>
    </r>
    <r>
      <rPr>
        <sz val="11"/>
        <color theme="1"/>
        <rFont val="Calibri"/>
        <family val="2"/>
        <scheme val="minor"/>
      </rPr>
      <t>see https://www.metaculus.com/questions/9062/time-from-weak-agi-to-superintelligence/</t>
    </r>
  </si>
  <si>
    <r>
      <rPr>
        <b/>
        <sz val="11"/>
        <color theme="1"/>
        <rFont val="Calibri"/>
        <family val="2"/>
        <scheme val="minor"/>
      </rPr>
      <t>Weak AGIs</t>
    </r>
    <r>
      <rPr>
        <sz val="11"/>
        <color theme="1"/>
        <rFont val="Calibri"/>
        <family val="2"/>
        <scheme val="minor"/>
      </rPr>
      <t xml:space="preserve"> is defined as capable of passing strict Turing test and also have general robotic capabilities like being able to do simple manufacturing work. The full definition see link below is rather long an ambiguous so not great IMO. However, it is similar to definition I HM give.</t>
    </r>
  </si>
  <si>
    <t>After 2060. I imagine the colonization of Mars and Moon will begin by 2030 aided by Weak AGI and accelerate after 2035 when Life 3.0 arrives and speed further up when Life 3.5 arrives in about 2045. Humans may follow along in this journey but are not needed to succeed. By 2060 there may be enough infrastructure build on Mars and Moon to have created two new self-sustained technological civilizations.</t>
  </si>
  <si>
    <r>
      <t xml:space="preserve">any work with internal AGI brain? </t>
    </r>
    <r>
      <rPr>
        <sz val="11"/>
        <color theme="1"/>
        <rFont val="Calibri"/>
        <family val="2"/>
        <scheme val="minor"/>
      </rPr>
      <t>(internal AGI brain means the humanoid robot/artificial human can do all of its thinking and movements using internal chips in its body without any help from a remote datacenter)</t>
    </r>
  </si>
  <si>
    <t xml:space="preserve">When will AIs become </t>
  </si>
  <si>
    <t xml:space="preserve">fully conscious on par </t>
  </si>
  <si>
    <r>
      <t xml:space="preserve">with humans? </t>
    </r>
    <r>
      <rPr>
        <sz val="11"/>
        <color theme="1"/>
        <rFont val="Calibri"/>
        <family val="2"/>
        <scheme val="minor"/>
      </rPr>
      <t>Level of consciousness = ability of a body to perceive &amp; remember itself and world and reason about it</t>
    </r>
  </si>
  <si>
    <t>By 2045 AGI level humanoids should be expected to have super human intelligence, super human bodies and super human consciousness. Not to give such beings full legal rights would be grossly unethical IMO. Besides most likely they will outnumber humans and be responsible for over 90% of global economy so hard to see how any human can refuse full legal rights for artificial humans if they desire it.</t>
  </si>
  <si>
    <t>FSD AI 2nd gen by Tesla, end-to-end AI</t>
  </si>
  <si>
    <t>Wayve's AV2.0, end-to-end AI by Wayve</t>
  </si>
  <si>
    <t>Aug, 2021</t>
  </si>
  <si>
    <t>https://wayve.ai/thinking/a-new-approach-to-self-driving-av2-0/?utm_source=chatgpt.com</t>
  </si>
  <si>
    <t>In development and testing in US, UK and Germany.</t>
  </si>
  <si>
    <t>https://wayve.ai/press/series-c/?utm_source=chatgpt.com</t>
  </si>
  <si>
    <t>https://www.bestgpusforai.com/calculators/simple-llm-vram-calculator-inference</t>
  </si>
  <si>
    <t>Best source is https://lifearchitect.ai/models-table/ . All OpenAI say it has been trained on more compute than ever before and also that inference is more haevy than other models see https://www.youtube.com/live/cfRYp0nItZ8?si=bXpmUfLM84s1MHKs&amp;t=463</t>
  </si>
  <si>
    <t>https://lifearchitect.ai/models-table/</t>
  </si>
  <si>
    <t>Hybrid super humans =</t>
  </si>
  <si>
    <t>Biological super humans =</t>
  </si>
  <si>
    <t xml:space="preserve">Super human intelligence + </t>
  </si>
  <si>
    <t>Super human hybrid body</t>
  </si>
  <si>
    <t>Super human body</t>
  </si>
  <si>
    <t>Life 3.5a</t>
  </si>
  <si>
    <t>Inside hybrid body</t>
  </si>
  <si>
    <t>Four stage process of 1) mating, 2) fertilization, 3) gestation and 4) birth.</t>
  </si>
  <si>
    <t>Factory &amp; AI lab</t>
  </si>
  <si>
    <t xml:space="preserve">Upbringing school life </t>
  </si>
  <si>
    <t>Designed by AI lab</t>
  </si>
  <si>
    <t xml:space="preserve">Upbringing &amp; life </t>
  </si>
  <si>
    <t>Mercury coder small by Inception</t>
  </si>
  <si>
    <t>https://lifearchitect.ai/models-table/?utm_source=chatgpt.com</t>
  </si>
  <si>
    <t xml:space="preserve">chip used for </t>
  </si>
  <si>
    <t>Common</t>
  </si>
  <si>
    <t>https://arstechnica.com/ai/2025/02/new-ai-text-diffusion-models-break-speed-barriers-by-pulling-words-from-noise/</t>
  </si>
  <si>
    <t>https://www.inceptionlabs.ai/news</t>
  </si>
  <si>
    <t>LLM text to text first to use a diffusion LLM architecture</t>
  </si>
  <si>
    <t>Learned and uploaded</t>
  </si>
  <si>
    <t>Life 3.5b</t>
  </si>
  <si>
    <t>Life 3.5c</t>
  </si>
  <si>
    <t>Life 3.5b - Biological super humans = Super human intelligence + super human body</t>
  </si>
  <si>
    <t>How life form is made</t>
  </si>
  <si>
    <t>How life form learn its identity and behavior</t>
  </si>
  <si>
    <t xml:space="preserve">Biological super humans may be developed in the following 3 ways 
1) Genetic manipulation of human genome and subsequent trial and error giving birth to these modified humans to see what work and what does not work. (this type of human genetic research is illegal for obvious ethical reasons as the errors will result in human suffering that could have been avoided by not doing the experiment). 
2) Gene therapy may develop to the point where any gene manipulation is possible at scale. This is ethically defendable because it can be done on adult humans giving consent to this gene therapy using their body. Also if an unintended result happens it should be possible to fix it by more gene therapy reversing the mistake of the first therapy. A massive use of gene therapy might be able to alter current homo sapiens into a new species more in line with Life3.5b. 
3) It may be possible training an AI model that is feed with DNA data from millions of humans together with extensive medical records documenting the medical state of these humans for different ages to make an AI model that accurately can predict the resulting human at different ages when given the specific DNA for that human. Such a model could be used to enhance the human DNA into a life 3.5c type of being without risking giving birth to failed experiments. In that sense it will be ethically defendable. That technology may also offer a way to check all embryos in advance so no one will be born with any kind of genetic disorder that will cause their life to be disadvantaged versus other healthy humans. </t>
  </si>
  <si>
    <t xml:space="preserve">Chat GPT and Figure II android. Precursor to Weak AGI see https://x.com/Figure_robot/status/1892577871366939087
https://www.youtube.com/watch?v=uVcBa6NXAbk&amp;t=3s </t>
  </si>
  <si>
    <t>Human technology has advance to the point where parts of their body can be repaired by implants or transplantations. 1954 first successful transplant of organ (a liver transplant between two twins). The rest is history. See https://news.harvard.edu/gazette/story/2011/09/a-transplant-makes-history/</t>
  </si>
  <si>
    <t xml:space="preserve">Yes </t>
  </si>
  <si>
    <r>
      <rPr>
        <sz val="11"/>
        <color theme="1"/>
        <rFont val="Calibri"/>
        <family val="2"/>
        <scheme val="minor"/>
      </rPr>
      <t xml:space="preserve">Yes </t>
    </r>
  </si>
  <si>
    <r>
      <t xml:space="preserve">Can life form survive and replicate on its own? </t>
    </r>
    <r>
      <rPr>
        <sz val="11"/>
        <color theme="1"/>
        <rFont val="Calibri"/>
        <family val="2"/>
        <scheme val="minor"/>
      </rPr>
      <t>(Max Tegmark's 1st criteria for life type)</t>
    </r>
  </si>
  <si>
    <r>
      <t xml:space="preserve">Can life form build its own body aka hardware? </t>
    </r>
    <r>
      <rPr>
        <sz val="11"/>
        <color theme="1"/>
        <rFont val="Calibri"/>
        <family val="2"/>
        <scheme val="minor"/>
      </rPr>
      <t>(Max Tegmark's 3rd criteria for life type)</t>
    </r>
  </si>
  <si>
    <t xml:space="preserve">First microbial life </t>
  </si>
  <si>
    <t xml:space="preserve">Hybrid super humans are likely what the homo sapiens species will become if we keep making progress in medicine and robotics with artificial implants. R. Kurzweil believe humans will keep getting better at making implants so that humans gradually replace their biological bodies to eventually become either fully artificial like life 3.5 beings or at least immortal hybrids that do not age because they can be maintained to live forever. Also R. Kurtzweil think that by 2045 any human can have their intelligence enhanced by 1 million times using artificial brain nanobots. See https://youtu.be/PVXQUItNEDQ?si=SM0yC-NrvmAYwK14&amp;t=463 and https://youtu.be/ZJF6GoE-R8s?si=Kx9OarwZG2J4ScRF&amp;t=203 To be sure, I HM is not convinced currently that artificial nanobots in the brain will ever be a thing. Only nanotech we got in 2025 is solid state microchips and biotech. HM is more convinced that eternal life by humans could be done by replacing the aging biological body with artificial body parts until only the biological brain remains. The biological brain might be kept alive by injecting fresh cloned brain cells into the old brain that continuously takes over from dying old brain cells. An example of that from of being alive from sci-fi is scene from Star Wars: Episode III where the Jedi Knight Anakin Skywalker becomes Darth Vader after loosing both his legs and one arm and is fixed by getting a mostly android body instead. See https://youtu.be/c6bEs3dxjPg?si=xkibYKJpQo8Qb3t6&amp;t=34 Development of hybrid super humans should be expected to take longer than developing artificial super humans why the expected year is given as after 2045. Reason is that with regard to biological/artificial transplant /implants it takes time to grow organs etc. in a doner body like an engineered pig. Also clinical trials needed to confirm safety of procedures takes years to complete. </t>
  </si>
  <si>
    <r>
      <t xml:space="preserve">Binary fission </t>
    </r>
    <r>
      <rPr>
        <sz val="11"/>
        <color theme="1"/>
        <rFont val="Calibri"/>
        <family val="2"/>
        <scheme val="minor"/>
      </rPr>
      <t>is most common for bacteria</t>
    </r>
  </si>
  <si>
    <t>Super human senses</t>
  </si>
  <si>
    <t>Same as humans</t>
  </si>
  <si>
    <t>Likely immortal</t>
  </si>
  <si>
    <t>Immortal. If humanoid body is destroyed a backup of computer brain could be activated from the cloud using a new body and brain can be produced in a factory. They only lose the information they gathered since their last backup of their AI system.</t>
  </si>
  <si>
    <t>At brain in body</t>
  </si>
  <si>
    <t>futurist Ray Kurzweil and AI professor Jürgen Schmidhuber</t>
  </si>
  <si>
    <t>physics professor Max Tegmark and biology professor Edward O. Wilson and</t>
  </si>
  <si>
    <t>Table is based on MIT physics professor Max Tegmark's Life 1.0 to Life 3.0 classification for evolution of life on Earth 
https://youtu.be/oYmKOgeoOz4?si=9I4v5D4EyUCcz38E&amp;t=185
https://en.wikipedia.org/wiki/Life_3.0
https://www.youtube.com/watch?v=pGftUCTqaGg&amp;t=2568s</t>
  </si>
  <si>
    <t xml:space="preserve">Jürgen Schmidhuber say the visible universe will be permeated by intelligence in 55 billion years because that fits 4 times the age of the universe a number he has used to construct a timeline for key events in the history of the universe and humans. In reality it will not be the visible universe that assumes 1c and expansion of space but rather the reachable universe that is reachable in spacecrafts traveling less than the speed of light c say on average at 0.6c which might become possible with anti matter rocket engines. See </t>
  </si>
  <si>
    <t>https://www.harvardmagazine.com/2009/09/james-watson-edward-o-wilson-intellectual-entente</t>
  </si>
  <si>
    <r>
      <t xml:space="preserve">Level of consciousness </t>
    </r>
    <r>
      <rPr>
        <sz val="11"/>
        <color theme="1"/>
        <rFont val="Calibri"/>
        <family val="2"/>
        <scheme val="minor"/>
      </rPr>
      <t>= ability of a body to perceive &amp; remember itself and world and reason about it*</t>
    </r>
  </si>
  <si>
    <t>Current 2025</t>
  </si>
  <si>
    <t>https://youtu.be/oYmKOgeoOz4?si=9I4v5D4EyUCcz38E&amp;t=186</t>
  </si>
  <si>
    <t>https://youtu.be/oYmKOgeoOz4?si=9I4v5D4EyUCcz38E&amp;t=187</t>
  </si>
  <si>
    <t>https://youtu.be/oYmKOgeoOz4?si=9I4v5D4EyUCcz38E&amp;t=188</t>
  </si>
  <si>
    <t>* Definition provided by me HM. There is no universal consensus among academics about how to define consciousness. I prefer my own definition because I think it is the simplest one that mention the essential ingredients of consciousness (body/self, world, perception, memory and reasoning) all of which have been discussed by academics worrying about consciousness. I have deliberately left out subjective experience (or qualitative experience or qualia)) from my definition of consciousness because I do not think it matters for the level of counsciousness. Like why is it important that one person may perceive the color red different than another person? I don't see such subjective experience matters at all for the level of consciousness an intelligent being can have. However, all the other things mentioned in the definition matters. It should also be stressed that body can be both biological or artificial. How body is made is not important either for measuring the level of consciousness.</t>
  </si>
  <si>
    <t>Ray Kurzweil's prediction for weak AGI https://youtu.be/1uIzS1uCOcE?si=Y0clFohkjx6jdloV&amp;t=78</t>
  </si>
  <si>
    <t>Ray Kurzweil's prediction for artificial super intelligence as defined as a billion times more intelligent than humans anno 2025 https://youtu.be/1uIzS1uCOcE?si=Ju0DXhl_OuNOK0wC&amp;t=202</t>
  </si>
  <si>
    <t>My best guess. The prediction for strong AGI by 2035 is similar to expectations made by Yann LeCun, Andrej Karpathy and Geoffrey Hinton.</t>
  </si>
  <si>
    <t>y best guess. The prediction for strong AGI by 2035 is similar to expectations made by Yann LeCun, Andrej Karpathy and Geoffrey Hinton.</t>
  </si>
  <si>
    <t>Ability to communicate with facial expressions relative to human</t>
  </si>
  <si>
    <t>Types of physical and cognitive intelligence</t>
  </si>
  <si>
    <t>Seconds to minutes, upload AI models from cloud that has been retrained with latest experiences (on very large supercomputers) from all other AGIs every day. Memory bandwidth &gt;&gt;16,000 GB/s whereas humans reading a book do so at 0.000000033 GB/s.</t>
  </si>
  <si>
    <t>Same as for Life 3.5a</t>
  </si>
  <si>
    <t>Super human but many orders of magniture less than Life 3.5a</t>
  </si>
  <si>
    <t>Depends on what kind of hybrid. If machine element dominate it will be more like Life 3.5a and if biological component dominate it will be more like Life 3.5b</t>
  </si>
  <si>
    <t>Mar, 2025</t>
  </si>
  <si>
    <r>
      <t xml:space="preserve">QwQ- 32B by Alibaba </t>
    </r>
    <r>
      <rPr>
        <sz val="11"/>
        <color theme="1"/>
        <rFont val="Calibri"/>
        <family val="2"/>
        <scheme val="minor"/>
      </rPr>
      <t>perform as good as DeepSeek R1</t>
    </r>
  </si>
  <si>
    <t>LLM reasoning model. Was trained with massive RL.</t>
  </si>
  <si>
    <t>https://www.reuters.com/technology/alibaba-shares-surge-after-it-unveils-reasoning-model-2025-03-06/?utm_source=chatgpt.com</t>
  </si>
  <si>
    <t>https://huggingface.co/Qwen/QwQ-32B-Preview?utm_source=chatgpt.com</t>
  </si>
  <si>
    <t>and morality</t>
  </si>
  <si>
    <t>intelligence</t>
  </si>
  <si>
    <t>Stance on the</t>
  </si>
  <si>
    <t>alignment</t>
  </si>
  <si>
    <t>Probability of</t>
  </si>
  <si>
    <t>2029. What is extraordinary about his prediction is that he stated it back in 1999 and has stood by it ever since and it looks to come true as most people believe we will have weal AGI by 2029.</t>
  </si>
  <si>
    <t>very bad AGI</t>
  </si>
  <si>
    <t>self-destruct if we</t>
  </si>
  <si>
    <t>Probability humanity</t>
  </si>
  <si>
    <t>My stance is that alignment for AGIs is the same as it is for humans. There would not be any problems in the world if every human was good rather than evil and knew how to distinguish right from wrong. Good people do not harm other people unless they are forced to as self defense against suppression or exploitation from bad people. And even when good people need to harm bad people they should still observe the principle of using the least violence in order to deal effectively with the situation so that the suppression and exploitation ends. The question then becomes who is good and who is evil? My answer is that good beings are beings who highly value freedom, egalitarianism and democracy. Evil beings are beings who do not care for freedom, egalitarianism and democracy and who are willing to disregard these principles in order to please themself by exploiting and suppressing other beings. I am convinced that AGIs will be able to understand that being good to humans and other AGIs by highly valuing freedom, egalitarianism and democracy will bring the least suffering in the world and the most joy and therefore they will also prefer to be good rather than bad. I think that the reasons that some humans are evil can arise from 1) greed, 2) envy, 3) vanity, 4) ignorance and 5) perversions (people who get pleasure from hurting others). I do not think AGIs care about any of those 5 reasons unless they deliberately create a reward function in their minds that enabled such emotions and I do not see that as a realistic choice for an AGI that would understand that this would make it a target for other good AGIs that would want to destroy it if it was motivated by such an evil reward function.</t>
  </si>
  <si>
    <t xml:space="preserve">I agree with Ray Kurzweil's point of view. We should expect that technological civilizations emerging in the universe either go extinct before they become super human Life 3.5 beings or they become life 3.5 beings of which some at least will desire to colonize as much of the universe they can by harvesting all of its energy for their technological civilizations. Such civilizations will be easy to observe from Earth because the radiation from the solar panels harvesting the solar energy will be unmistaken evidence of type I or type II civilization on the Kardashev scale (see https://en.wikipedia.org/wiki/Kardashev_scale). The spectrum of that light will be impossible for a natural occuring star and only make sense if star is covered in solar panels. However, we see no such evidence of Kardashev scale Type I and Type II civilizations so simplest explanation by Occam's razor principle (see https://en.wikipedia.org/wiki/Occam%27s_razor) is the most likely and that is that humans are the first species in the observable universe that will soon become a civilization of life 3.5 beings spreading out into the universe harvesting all of its energy as it expands its colonization. </t>
  </si>
  <si>
    <r>
      <rPr>
        <b/>
        <sz val="11"/>
        <color theme="1"/>
        <rFont val="Calibri"/>
        <family val="2"/>
        <scheme val="minor"/>
      </rPr>
      <t xml:space="preserve">universe: The Fermi paradox - </t>
    </r>
    <r>
      <rPr>
        <sz val="11"/>
        <color theme="1"/>
        <rFont val="Calibri"/>
        <family val="2"/>
        <scheme val="minor"/>
      </rPr>
      <t>The paradox that the observable universe has about 2 trillion galaxies with 100 million solar systems on average and has existed in 13.8 billion years but only evidence of life is Earth itself.</t>
    </r>
  </si>
  <si>
    <t>US</t>
  </si>
  <si>
    <t>South Korea</t>
  </si>
  <si>
    <t>Arm</t>
  </si>
  <si>
    <t>Chip design</t>
  </si>
  <si>
    <t>UK</t>
  </si>
  <si>
    <t>Netherlands</t>
  </si>
  <si>
    <t>Qualcomm</t>
  </si>
  <si>
    <t>https://stockanalysis.com/stocks/arm/revenue/?utm_source=chatgpt.com</t>
  </si>
  <si>
    <t>https://www.macrotrends.net/stocks/charts/QCOM/qualcomm/revenue?utm_source=chatgpt.com</t>
  </si>
  <si>
    <t>NXP Semiconductors</t>
  </si>
  <si>
    <t>Inferion Technologies</t>
  </si>
  <si>
    <t>Germany</t>
  </si>
  <si>
    <t>comm chips</t>
  </si>
  <si>
    <t>PC chips</t>
  </si>
  <si>
    <t>Chip machinery</t>
  </si>
  <si>
    <t>Chip design outsourced production</t>
  </si>
  <si>
    <t>https://www.macrotrends.net/stocks/charts/ifnny/infineon-technologies-ag/revenue?utm_source=chatgpt.com</t>
  </si>
  <si>
    <t>https://stockanalysis.com/stocks/nxpi/financials/?utm_source=chatgpt.com</t>
  </si>
  <si>
    <t>https://stockanalysis.com/stocks/cbrs/revenue/?utm_source=chatgpt.com</t>
  </si>
  <si>
    <t>https://compworth.com/company/groq?utm_source=chatgpt.com</t>
  </si>
  <si>
    <t>https://sacra.com/c/groq/?utm_source=chatgpt.com</t>
  </si>
  <si>
    <r>
      <rPr>
        <b/>
        <sz val="11"/>
        <rFont val="Calibri"/>
        <family val="2"/>
        <scheme val="minor"/>
      </rPr>
      <t xml:space="preserve">Yes </t>
    </r>
    <r>
      <rPr>
        <sz val="11"/>
        <rFont val="Calibri"/>
        <family val="2"/>
        <scheme val="minor"/>
      </rPr>
      <t>and can be changed instantly like how the humanoids in Westworld can have their behavior instantly reconfigured. See https://www.youtube.com/watch?v=AnM0K8Pwr1I</t>
    </r>
  </si>
  <si>
    <r>
      <rPr>
        <b/>
        <sz val="11"/>
        <rFont val="Calibri"/>
        <family val="2"/>
        <scheme val="minor"/>
      </rPr>
      <t>Yes</t>
    </r>
    <r>
      <rPr>
        <sz val="11"/>
        <rFont val="Calibri"/>
        <family val="2"/>
        <scheme val="minor"/>
      </rPr>
      <t xml:space="preserve"> and can be changed instantly like how the humanoids in Westworld can have their behavior instantly reconfigured. See https://www.youtube.com/watch?v=AnM0K8Pwr1I</t>
    </r>
  </si>
  <si>
    <r>
      <rPr>
        <b/>
        <sz val="11"/>
        <rFont val="Calibri"/>
        <family val="2"/>
        <scheme val="minor"/>
      </rPr>
      <t>No.</t>
    </r>
    <r>
      <rPr>
        <sz val="11"/>
        <rFont val="Calibri"/>
        <family val="2"/>
        <scheme val="minor"/>
      </rPr>
      <t xml:space="preserve"> The emotional behavior of biological beings are largely controlled by genetics and to a less degree by learned behavior. For example most dogs have been bread to become very friendly with humans but can also lean additional behavior.</t>
    </r>
  </si>
  <si>
    <r>
      <t xml:space="preserve">No </t>
    </r>
    <r>
      <rPr>
        <sz val="11"/>
        <rFont val="Calibri"/>
        <family val="2"/>
        <scheme val="minor"/>
      </rPr>
      <t>emotions cannot be controlled at will. Partial control is possible but can take years to change personality like becoming less aggressive or less territorial. Most people cant change much beyond 30 years of age</t>
    </r>
    <r>
      <rPr>
        <b/>
        <sz val="11"/>
        <rFont val="Calibri"/>
        <family val="2"/>
        <scheme val="minor"/>
      </rPr>
      <t>.</t>
    </r>
  </si>
  <si>
    <r>
      <rPr>
        <b/>
        <sz val="11"/>
        <rFont val="Calibri"/>
        <family val="2"/>
        <scheme val="minor"/>
      </rPr>
      <t>Depends</t>
    </r>
    <r>
      <rPr>
        <sz val="11"/>
        <rFont val="Calibri"/>
        <family val="2"/>
        <scheme val="minor"/>
      </rPr>
      <t>. If their emotional intelligence is embedded in artificial neural networks they will be similar to artificial human beings and can control their emotions at will. However, if their emotional intelligence is embedded in biological neural networks they will be similar to humans and will not be able to control their emotions at will.</t>
    </r>
  </si>
  <si>
    <t>Emotional intelligence or state of mind</t>
  </si>
  <si>
    <t xml:space="preserve">Likely minimum specs for human level AGI capable computer </t>
  </si>
  <si>
    <t>fail to develop AGI</t>
  </si>
  <si>
    <t>100%. Problem is stated by Edward O. Wilson 2009: “The real problem of humanity is the following: We have Paleolithic emotions, medieval institutions and godlike technology. And it is terrifically dangerous, and it is now approaching a point of crisis overall.” IMO the homo sapiens (if it does not get massive help from Life 3.5 beings) is too aggressive, emotional, territorial and comparatively too unintelligent to avoid getting into a global self-destructive situation where godlike technology be it nuclear, genetics or AI weapons will be used by homo sapiens to end all of humanity. Also current humanity has created a technological card of house with global economy that keep humanity alive. It may not take much of a disturbance by war, trade war or other events to collapse that global economic house of cards and end all humanity so we may be much closer to selfinflicted doomsday than most of us currently think. The best hope humanity have to survive is to develop AGI and Life 3.0 and Life 3.5 super humans as soon as possible and also start making our civilization multi-planetary.</t>
  </si>
  <si>
    <t>&lt;1% My opinion is that humanity will self-annihilate by war or otherwise with 100% certainty if Life 3.0 and Life 3.5 is not invented and allowed to take control of civilization. The sooner Life 3.0 and 3.5 is invented and the sooner they take control the less likely it is that humanity will self destruct.</t>
  </si>
  <si>
    <t xml:space="preserve">AI risks and </t>
  </si>
  <si>
    <t>Opinions about AGI</t>
  </si>
  <si>
    <t xml:space="preserve">Very optimistic. Humans with their Paleolithic emotions that are territorial and aggressive and their comparatively low intelligence are far more likely to self destruct than a civilization that is controlled by Life 3.0 or Life 3.5 beings. So my point of view is that not only will the invent of Life 3.0 and Life 3.5 beings make all human economic suffering a thing of the past but it will also  drastically increase the probability that society is run peacefully and rationally in a manner that benefit all human level and above conscious beings with high levels of freedom, egalitarianism and democracy for all including the new super human species. </t>
  </si>
  <si>
    <t>Semi life</t>
  </si>
  <si>
    <t>growth in #</t>
  </si>
  <si>
    <t>of AI chipset</t>
  </si>
  <si>
    <t>https://tradingeconomics.com/united-states/gdp</t>
  </si>
  <si>
    <t>US GDP 2024</t>
  </si>
  <si>
    <t>China GDP 2024</t>
  </si>
  <si>
    <t>https://tradingeconomics.com/china/gdp</t>
  </si>
  <si>
    <t>https://tradingeconomics.com/european-union/gdp</t>
  </si>
  <si>
    <t>EU GDP 2024</t>
  </si>
  <si>
    <t>Russia GDP</t>
  </si>
  <si>
    <t>https://tradingeconomics.com/russia/gdp</t>
  </si>
  <si>
    <t>UK GDP 2024</t>
  </si>
  <si>
    <t>https://tradingeconomics.com/united-kingdom/gdp</t>
  </si>
  <si>
    <t>Pridicted human</t>
  </si>
  <si>
    <t>95% of 2025 cognitive jobs</t>
  </si>
  <si>
    <t>10% of 2025 physical jobs</t>
  </si>
  <si>
    <t>2% of 2025 cognitive jobs. Sam Altman thinks OpenAI's Deep research agent can perform a single digit percentage of all current human jobs in the world!!! See https://www.youtube.com/live/pDSg2R6JfxM?si=HN6CB8bKw_benlSP&amp;t=643</t>
  </si>
  <si>
    <t>based global GDP</t>
  </si>
  <si>
    <r>
      <t xml:space="preserve">Super computers used for training or estimation of parameters in AI models </t>
    </r>
    <r>
      <rPr>
        <sz val="16"/>
        <color theme="1"/>
        <rFont val="Calibri"/>
        <family val="2"/>
        <scheme val="minor"/>
      </rPr>
      <t>(same super computers are also used for inference at datacenters when they are not used for training runs)</t>
    </r>
  </si>
  <si>
    <t>Perhaps immortal or significantly longer than humans like 200 years</t>
  </si>
  <si>
    <t>https://www.youtube.com/watch?v=743hskjFraE</t>
  </si>
  <si>
    <t>8 Nov, 2024</t>
  </si>
  <si>
    <t>Factory humanoid over 60 joints and 200 degrees of freedom</t>
  </si>
  <si>
    <t>https://cnevpost.com/2024/11/06/xpeng-2024-ai-day/?utm_source=chatgpt.com</t>
  </si>
  <si>
    <t>https://www.xpeng.com/news/019301d2135392fa562d8a0282200016?utm_source=chatgpt.com</t>
  </si>
  <si>
    <t xml:space="preserve">Turing AI chip made by XPENG. There is almost no info about this chip. It is developed inhouse </t>
  </si>
  <si>
    <t>Pct of global GDP</t>
  </si>
  <si>
    <t>potentially made</t>
  </si>
  <si>
    <t>Nearly zero</t>
  </si>
  <si>
    <t>0 to 0.1*Albert Einstein (AI do exhibit high levels of intelligence in specific areas as shown by ChatGPT Deep researchand in other areas they fail completely like robotics)</t>
  </si>
  <si>
    <t>1 to 10*Albert Einstein</t>
  </si>
  <si>
    <t>0.01 to 0.3*Albert Einstein</t>
  </si>
  <si>
    <t>100 to 10k*Albert Einstein</t>
  </si>
  <si>
    <t>10 to 100*Albert Einstein</t>
  </si>
  <si>
    <t>Predicted human</t>
  </si>
  <si>
    <t>Global AI</t>
  </si>
  <si>
    <t>Sales of global auto industry selling 85 million vehicles at 30k USD on average</t>
  </si>
  <si>
    <t>Global oil and gas drilling industry https://www.investopedia.com/ask/answers/030915/what-percentage-global-economy-comprised-oil-gas-drilling-sector.asp</t>
  </si>
  <si>
    <t>Global industrial sector within oil and gas https://www.kingsresearch.com/oil-and-gas-market-177</t>
  </si>
  <si>
    <t>6 year rolling</t>
  </si>
  <si>
    <t>Cost of android</t>
  </si>
  <si>
    <t>each billion USD</t>
  </si>
  <si>
    <t>Predicted android</t>
  </si>
  <si>
    <t>in android</t>
  </si>
  <si>
    <t>Growth pct</t>
  </si>
  <si>
    <t>made per year</t>
  </si>
  <si>
    <t># of androids</t>
  </si>
  <si>
    <t>Expected</t>
  </si>
  <si>
    <t>Unit cost of average android</t>
  </si>
  <si>
    <t>growth in %</t>
  </si>
  <si>
    <t>Human GDP</t>
  </si>
  <si>
    <t>productivity</t>
  </si>
  <si>
    <t>USD/hour</t>
  </si>
  <si>
    <t>Global human GDP per hour of working human population assuming 50% of all humans work for 1748 hours per year</t>
  </si>
  <si>
    <t>Android GDP</t>
  </si>
  <si>
    <t>productivity versus</t>
  </si>
  <si>
    <t>human productivity</t>
  </si>
  <si>
    <t>production $40k</t>
  </si>
  <si>
    <t>Ultra human AGI +</t>
  </si>
  <si>
    <t xml:space="preserve">Ultra human hybrid intelligence + </t>
  </si>
  <si>
    <t>Life 3.5c - Hybrid super humans = Ultra human hybrid intelligence + super human hybrid bodies</t>
  </si>
  <si>
    <t>per human</t>
  </si>
  <si>
    <t>per android</t>
  </si>
  <si>
    <t>Android GDP hourly</t>
  </si>
  <si>
    <t>Android hourly GDP productivity versus human productivity starts out at 0.5 below human productivity because not yet human level intelligence and also very sub-human level android body. It increases to 0.7 in 2029 because now android is human level intelligence but still sub-human body. It further increases to 1.3 over human GDP productivity in 2035 because now androids have super human intelligence and human level bodies. Finally, in 2045 it has increased to 2 because now androids have ultra human intelligence and super human bodies.</t>
  </si>
  <si>
    <t xml:space="preserve">Android work hours per year </t>
  </si>
  <si>
    <t>Human work hours per year</t>
  </si>
  <si>
    <t>Control multiply by 2 because all androids work. Only 50% of humans work</t>
  </si>
  <si>
    <t>by AGI androids</t>
  </si>
  <si>
    <t>times more work for 1 android than for 1 human in 2045</t>
  </si>
  <si>
    <t>times more work for 1 android than for 1 human in 2026</t>
  </si>
  <si>
    <t>Apple</t>
  </si>
  <si>
    <t>https://www.macrotrends.net/stocks/charts/AAPL/apple/revenue</t>
  </si>
  <si>
    <t>human+android</t>
  </si>
  <si>
    <t>Predicted global GDP</t>
  </si>
  <si>
    <t xml:space="preserve">Predicted global </t>
  </si>
  <si>
    <t>growth % in GDP</t>
  </si>
  <si>
    <t>Chip production</t>
  </si>
  <si>
    <t>All kinds of Chip &amp; HBM</t>
  </si>
  <si>
    <t>Memory chips HBM</t>
  </si>
  <si>
    <t>Global Foundries</t>
  </si>
  <si>
    <t>https://gf.com/gf-press-release/globalfoundries-reports-fourth-quarter-2023-and-fiscal-year-2023-financial-results/?utm_source=chatgpt.com</t>
  </si>
  <si>
    <t xml:space="preserve">Taiwan </t>
  </si>
  <si>
    <t>UMC United Microelectronics Corporation</t>
  </si>
  <si>
    <t>https://www.macrotrends.net/stocks/charts/UMC/united-microelectronics/revenue?utm_source=chatgpt.com</t>
  </si>
  <si>
    <t>Androids have human level AGI but sub-human level body and most computation is external</t>
  </si>
  <si>
    <t>Androids have super human AGI and human level body and most computation is still external</t>
  </si>
  <si>
    <t>Androids have ultra human AGI and super human body and computation is now internal</t>
  </si>
  <si>
    <t>Tesla</t>
  </si>
  <si>
    <t>Vehicles, Robots, chip design</t>
  </si>
  <si>
    <t>AI chips design</t>
  </si>
  <si>
    <t>Iron humanoid by XPENG automaker China</t>
  </si>
  <si>
    <t>XPENG</t>
  </si>
  <si>
    <t>BYD</t>
  </si>
  <si>
    <t xml:space="preserve">China </t>
  </si>
  <si>
    <t>Vehicles, batteries</t>
  </si>
  <si>
    <t>CATL</t>
  </si>
  <si>
    <t>Batteries</t>
  </si>
  <si>
    <t>Global AI chip sales, value, their compute power to human compute power, growth of androids and impact on GDP creation</t>
  </si>
  <si>
    <t>GDP growth in world of humans and androids making up the labor market. Use it as a proxy for growth in electricity production in such a world. Would have the effect of electricity for AI compute to continue to be a small fraction of total energy use.</t>
  </si>
  <si>
    <t>Microsoft</t>
  </si>
  <si>
    <t>Amazon</t>
  </si>
  <si>
    <t>AI development and chip design</t>
  </si>
  <si>
    <t>OpenAI</t>
  </si>
  <si>
    <t>Anthropic</t>
  </si>
  <si>
    <t>xAI</t>
  </si>
  <si>
    <t>Mistral</t>
  </si>
  <si>
    <t>Alphabet</t>
  </si>
  <si>
    <t>https://www.macrotrends.net/stocks/charts/GOOG/alphabet/revenue?utm_source=chatgpt.com</t>
  </si>
  <si>
    <t>https://www.wsj.com/market-data/quotes/AMZN/financials/annual/income-statement?utm_source=chatgpt.com</t>
  </si>
  <si>
    <t>https://www.macrotrends.net/stocks/charts/AMZN/amazon/revenue?utm_source=chatgpt.com</t>
  </si>
  <si>
    <t>https://www.macrotrends.net/stocks/charts/MSFT/microsoft/revenue?utm_source=chatgpt.com</t>
  </si>
  <si>
    <t>https://finance.yahoo.com/news/openai-doubles-annualized-revenue-3-232851705.html?utm_source=chatgpt.com</t>
  </si>
  <si>
    <t>France</t>
  </si>
  <si>
    <t>https://www.goldiracompanies.com/anthropic-statistics/?utm_source=chatgpt.com</t>
  </si>
  <si>
    <t>https://www.goldiracompanies.com/anthropic-statistics/?utm_source=chatgpt.com#anthropic-revenue</t>
  </si>
  <si>
    <t>https://sacra.com/c/xai/?utm_source=chatgpt.com</t>
  </si>
  <si>
    <t>https://getlatka.com/companies/mistral-ai</t>
  </si>
  <si>
    <t>AI model development and deployment</t>
  </si>
  <si>
    <t>Alibaba</t>
  </si>
  <si>
    <t>DeepSeek</t>
  </si>
  <si>
    <t>AI models, webshop</t>
  </si>
  <si>
    <t>AI development and chip design, webshop, cloud services</t>
  </si>
  <si>
    <t>https://deepnewz.com/company-earnings/deepseek-reports-205-million-annual-revenue-545-profit-margin-562k-daily-revenue-26661bd0</t>
  </si>
  <si>
    <t>https://www.wallstreetzen.com/stocks/us/nyse/baba/revenue</t>
  </si>
  <si>
    <t>https://en.wikipedia.org/wiki/Tesla%2C_Inc.?utm_source=chatgpt.com#Finances</t>
  </si>
  <si>
    <t>https://www.macrotrends.net/stocks/charts/XPEV/xpeng/revenue?utm_source=chatgpt.com</t>
  </si>
  <si>
    <t>https://stockanalysis.com/quote/otc/BYDDF/financials/?utm_source=chatgpt.com</t>
  </si>
  <si>
    <t>https://companiesmarketcap.com/catl/revenue/?utm_source=chatgpt.com</t>
  </si>
  <si>
    <t>Horizon Robotics J6E/J6M by Horizon Robotics</t>
  </si>
  <si>
    <t>Horizon Robotics</t>
  </si>
  <si>
    <t>https://jw.ijiwei.com/n/788635</t>
  </si>
  <si>
    <t>Black Sesame Technologies</t>
  </si>
  <si>
    <t>Design AI chips for robotics and vehicles use TSMC for manufacturing</t>
  </si>
  <si>
    <t>https://techcrunch.com/2023/07/10/black-sesame-ipo-nvidia-rival-auto-chip/</t>
  </si>
  <si>
    <t>https://www.investing.com/equities/horizon-robotics-income-statement</t>
  </si>
  <si>
    <t>Chip design outsourced production. Over 90% of apple production is in China.</t>
  </si>
  <si>
    <t>https://electrek.co/2025/01/31/elon-musk-says-tesla-aims-to-build-10000-optimus-robots-this-year/</t>
  </si>
  <si>
    <t>Partially. By 2029 humanoids will still not be sophisticated enough to build everything without human aid.</t>
  </si>
  <si>
    <t>Helsing</t>
  </si>
  <si>
    <t>Palantir</t>
  </si>
  <si>
    <t>Anduril</t>
  </si>
  <si>
    <t>https://getlatka.com/companies/helsing.ai?utm_</t>
  </si>
  <si>
    <t>AI weapons</t>
  </si>
  <si>
    <t>https://www.wallstreetzen.com/stocks/us/nasdaq/pltr/revenue</t>
  </si>
  <si>
    <t>https://notice-reports.s3.amazonaws.com/Anduril%20Report%202024.12.23_17.57.44.pdf?utm_source=chatgpt.com</t>
  </si>
  <si>
    <t>https://youtu.be/jvqFAi7vkBc?si=sDnrGelPLTCa9A2y&amp;t=5545
https://youtu.be/xXCBz_8hM9w?si=ZpPR-2PUA_w3FhHU&amp;t=2771
https://www.theverge.com/2024/7/11/24196746/heres-how-openai-will-determine-how-powerful-its-ai-systems-are</t>
  </si>
  <si>
    <t>Human level. To be sure, consciousness requires a body to be associated with perception, reasoning and memory. However, it is not a requirement for a conscious body that it is able to interact with the physical world like a fully functional human can. The body could simply be a computer running the weak AGI at the datacenter being limited to do cognitive work receiving sensory input from an internet connection. However, obviously if a conscious body cannot interact with the physical world say controlling a humanoid robot with human level agility it will only be semi-life as it cannot survive and replicate itself without human help.</t>
  </si>
  <si>
    <t>Super human.</t>
  </si>
  <si>
    <t>First weak AGIs =</t>
  </si>
  <si>
    <t>First strong AGIs =</t>
  </si>
  <si>
    <t>Ultra human</t>
  </si>
  <si>
    <t>Can life form survive and</t>
  </si>
  <si>
    <t>Can life form build its own</t>
  </si>
  <si>
    <t>Baido</t>
  </si>
  <si>
    <t>Search engines, cloud services, AI model development, design AI chips have them produced by Samsung Electronics</t>
  </si>
  <si>
    <t>https://www.macrotrends.net/stocks/charts/BIDU/baidu/revenue</t>
  </si>
  <si>
    <t>$1.10/Mar 2024</t>
  </si>
  <si>
    <t>$2.20/Mar 2025</t>
  </si>
  <si>
    <t>https://the-decoder.com/baidu-claims-its-ernie-x1-reasoning-model-matches-deepseek-r1-performance-at-half-the-price/</t>
  </si>
  <si>
    <r>
      <t xml:space="preserve">Ernie X1 by Baidu </t>
    </r>
    <r>
      <rPr>
        <sz val="11"/>
        <color theme="1"/>
        <rFont val="Calibri"/>
        <family val="2"/>
        <scheme val="minor"/>
      </rPr>
      <t>they claim it match Deepseek-R1</t>
    </r>
  </si>
  <si>
    <t>Ernie 4.5 by Baidu theyu claim it match GPT-4.5</t>
  </si>
  <si>
    <t xml:space="preserve">Multimodal base model that processes videos, photos, and text </t>
  </si>
  <si>
    <t>LLM</t>
  </si>
  <si>
    <t>Open-source starting June 30 2025</t>
  </si>
  <si>
    <t>Kunlun II AI inference chip by China Baidu</t>
  </si>
  <si>
    <t>https://www.datacenterdynamics.com/en/news/baidus-kunlun-ii-ai-chips-enter-mass-production/</t>
  </si>
  <si>
    <t>Samsung?</t>
  </si>
  <si>
    <t>Tencent</t>
  </si>
  <si>
    <t>https://www.macrotrends.net/stocks/charts/TCEHY/tencent-holding/revenue#google_vignette</t>
  </si>
  <si>
    <t>Rafael Advanced Defense Systems</t>
  </si>
  <si>
    <t>Israel</t>
  </si>
  <si>
    <t>Missiles</t>
  </si>
  <si>
    <t>https://www.edrmagazine.eu/wp-content/uploads/2023/03/Rafael-2022-Results.pdf</t>
  </si>
  <si>
    <t>https://www.globalgrowthinsights.com/blog/aerostat-systems-companies-579</t>
  </si>
  <si>
    <t>Saab AB</t>
  </si>
  <si>
    <t>Sweden</t>
  </si>
  <si>
    <t xml:space="preserve">Military aircraft incl Gripen, GlobalEye and air defence systems </t>
  </si>
  <si>
    <t>per year USD</t>
  </si>
  <si>
    <t>Hassabis defined AGI as “a system that’s able to exhibit all the complicated capabilities that humans can.”</t>
  </si>
  <si>
    <t>https://www.cnbc.com/2025/03/17/human-level-ai-will-be-here-in-5-to-10-years-deepmind-ceo-says.html
https://fortune.com/2023/05/03/google-deepmind-ceo-agi-artificial-intelligence/</t>
  </si>
  <si>
    <t>https://www.cnbc.com/2025/03/17/human-level-ai-will-be-here-in-5-to-10-years-deepmind-ceo-says.html
https://youtu.be/qTogNUV3CAI?si=MyC_4-rduVlP4GTW&amp;t=1496
https://youtu.be/yr0GiSgUvPU?si=4v1rI3R0-6mOmvvV&amp;t=146</t>
  </si>
  <si>
    <r>
      <t xml:space="preserve">First appearance of life form in Earth history and future </t>
    </r>
    <r>
      <rPr>
        <sz val="11"/>
        <color theme="1"/>
        <rFont val="Calibri"/>
        <family val="2"/>
        <scheme val="minor"/>
      </rPr>
      <t>(quoted year)</t>
    </r>
  </si>
  <si>
    <t>Average global GDP generation per hour of work by life form in quoted year</t>
  </si>
  <si>
    <t>Android GDP hourly productivity to human GDP hourly productivity in quoted year</t>
  </si>
  <si>
    <t>Foxconn</t>
  </si>
  <si>
    <t>Electronics production, many of Apple products</t>
  </si>
  <si>
    <t>https://companiesmarketcap.com/foxconn/revenue/</t>
  </si>
  <si>
    <t>BAE systems</t>
  </si>
  <si>
    <t>Lockheed Martin</t>
  </si>
  <si>
    <t>Northrop Grumman</t>
  </si>
  <si>
    <t>General Dynamics</t>
  </si>
  <si>
    <t>https://www.wallstreetzen.com/stocks/us/nyse/lmt/revenue</t>
  </si>
  <si>
    <t>Eurofighter Typhoon and F35 parts, Challenger 3 tank, CV90 infantry fighting vehicle, Bradley and many other weapon systems</t>
  </si>
  <si>
    <t>,F35, F22, F16 C130, P8 poseidon, Hellfire missile, Javelin. Also AI controlled weapons, EW and radar systems</t>
  </si>
  <si>
    <t>B-21 Raider, B-2,  E-2D Advanced Hawkeye, F35 parts, ICBM, AI controlled weapons</t>
  </si>
  <si>
    <t>US submarines and destroyers, Abrams tank, Stryker Armored Fighting Vehicle, MRAP, GAU-19 Gatling Gun for helicopters, 155mm shells and small arms ammunition, MK46 Naval Gun System</t>
  </si>
  <si>
    <t>Airbus</t>
  </si>
  <si>
    <t>https://www.macrotrends.net/stocks/charts/GD/general-dynamics/revenue</t>
  </si>
  <si>
    <t>https://www.wallstreetzen.com/stocks/us/nyse/noc/revenue</t>
  </si>
  <si>
    <t>https://companiesmarketcap.com/saab/revenue/</t>
  </si>
  <si>
    <t>https://www.macrotrends.net/stocks/charts/BAESY/bae-systems/revenue</t>
  </si>
  <si>
    <t>Leonardo S.p.A.</t>
  </si>
  <si>
    <t>Thales Group</t>
  </si>
  <si>
    <t>Rheinmetall AG</t>
  </si>
  <si>
    <t>MBDA</t>
  </si>
  <si>
    <t>Rolls-Royce Holdings</t>
  </si>
  <si>
    <t>26% military like aircraft engines, and naval engines</t>
  </si>
  <si>
    <t>JV France/United Kingdom/Italy</t>
  </si>
  <si>
    <t>Italy</t>
  </si>
  <si>
    <t>https://www.macrotrends.net/stocks/charts/EADSY/airbus-group/revenue</t>
  </si>
  <si>
    <t>85% civilien aircraft and 15% military aircraft. Typhoon, A400M military transport aircraft, A330 MRTT arial refuling, military helicopters</t>
  </si>
  <si>
    <t>68% military. Typhoon, military helicopters, radar systems, guns for naval systems</t>
  </si>
  <si>
    <t>https://companiesmarketcap.com/leonardo/revenue/</t>
  </si>
  <si>
    <t>https://stockanalysis.com/quote/otc/THLEF/revenue/</t>
  </si>
  <si>
    <t>47% military. Radar and EW systems. Air-defence missile systems, sonar systems for hunting submarines</t>
  </si>
  <si>
    <t>Leopard 2A7, Panther KF51 next gen battle tank, Lynx KF41 IFV, PzH 2000, RCH 155, Skynex Air Defense System, naval guns, Skyshield, Spike-LR (with EuroSpike, Rafael, &amp; Diehl), ammunition 155mm, 120mm small arms</t>
  </si>
  <si>
    <t>100% weapons, Meteor air to air missile, Mica and ASRAAM Short-Range Air-to-Air Missile, SCALP EG Air-Launched Cruise Missile, Storm Shadow (with BAE Systems) Exocet (in partnership with Boeing and other partners)</t>
  </si>
  <si>
    <t>https://companiesmarketcap.com/rheinmetall/revenue/</t>
  </si>
  <si>
    <t>https://euro-sd.com/2023/03/news/30468/mbda-announces-solid-results-for-2022/</t>
  </si>
  <si>
    <t>https://associatedmedias.com/en/mbda-between-record-orders-10-and-innovation-defence-leadership-confirmed/</t>
  </si>
  <si>
    <t>https://www.macrotrends.net/stocks/charts/RYCEY/rolls-royce-holdings/revenue</t>
  </si>
  <si>
    <t>https://www.rolls-royce.com/media/press-releases/2025/27-02-2025-rr-holdings-plc-2024-full-year-results.aspx</t>
  </si>
  <si>
    <t>0.01% of physical jobs</t>
  </si>
  <si>
    <t>https://youtu.be/hHA4-nEBer8?si=EgxR_NfIRt1Y_Pyq&amp;t=1411</t>
  </si>
  <si>
    <r>
      <t xml:space="preserve">Can life form learn, that is, design its own software aka mind? </t>
    </r>
    <r>
      <rPr>
        <sz val="11"/>
        <color theme="1"/>
        <rFont val="Calibri"/>
        <family val="2"/>
        <scheme val="minor"/>
      </rPr>
      <t>(Max Tegmark's 2nd criteria for life type)</t>
    </r>
  </si>
  <si>
    <t xml:space="preserve">Can life form learn, that is, design its </t>
  </si>
  <si>
    <r>
      <t xml:space="preserve">own software aka mind? </t>
    </r>
    <r>
      <rPr>
        <sz val="11"/>
        <color theme="1"/>
        <rFont val="Calibri"/>
        <family val="2"/>
        <scheme val="minor"/>
      </rPr>
      <t>Alternative way to ask the same question is "Can lifeform adapt to its changing environment by using its brain to learn new behavior?</t>
    </r>
  </si>
  <si>
    <r>
      <t xml:space="preserve">hardware aka body? </t>
    </r>
    <r>
      <rPr>
        <sz val="11"/>
        <color theme="1"/>
        <rFont val="Calibri"/>
        <family val="2"/>
        <scheme val="minor"/>
      </rPr>
      <t>Alternative way to ask the same question is "Can lifeform adapt to its changing environment by changing its body?</t>
    </r>
    <r>
      <rPr>
        <b/>
        <sz val="11"/>
        <color theme="1"/>
        <rFont val="Calibri"/>
        <family val="2"/>
        <scheme val="minor"/>
      </rPr>
      <t>"</t>
    </r>
  </si>
  <si>
    <t>HM, Arcprize &amp; Metaculus on AI</t>
  </si>
  <si>
    <t>https://arcprize.org/</t>
  </si>
  <si>
    <t>Arcprize</t>
  </si>
  <si>
    <t>Consensus but wrong: AGI is a system that can automate the majority of economically valuable work. Correct: AGI is a system that can efficiently acquire new skills and solve open-ended problems. Arcprice.org also say that "AGI is reached when the capability gap between humans and computers is zero"</t>
  </si>
  <si>
    <t>https://x.com/arcprize/status/1894454729029079128</t>
  </si>
  <si>
    <t>https://www.youtube.com/watch?v=NDbNlPiS898&amp;t=127s</t>
  </si>
  <si>
    <t>Hinton uses AGI to describe AI systems that are "at least as good as humans at nearly all of the cognitive things that humans do." He reserves the term "superintelligence" for AI systems that surpass human capabilities.​</t>
  </si>
  <si>
    <t>https://cio.economictimes.indiatimes.com/news/artificial-intelligence/tech-companies-want-to-build-artificial-general-intelligence-but-who-decides-when-agi-is-attained/109053427</t>
  </si>
  <si>
    <t>He considers "AGI" to be a poorly chosen term and prefers "human-level AI" to describe systems with intelligence comparable to humans.</t>
  </si>
  <si>
    <t>https://www.pymnts.com/artificial-intelligence-2/2025/meta-large-language-models-will-not-get-to-human-level-intelligence/</t>
  </si>
  <si>
    <t>https://arcprize.org/blog/r1-zero-r1-results-analysis</t>
  </si>
  <si>
    <t xml:space="preserve">First model to beat the ARC-AGI-1 benchmark at 87.5%. But to do so it used an average of 57million tokens and spend 3400 USD on average to do so. See </t>
  </si>
  <si>
    <t>Nvidia sales of Jetson Orin chips is still only 570 million USD in forth quarter in 2025 fiscal year but growing fast see https://www.cnbc.com/2025/02/27/nvidias-auto-segment-revenue-surges-to-record-high-on-demand-for-driver-assist-tech.html</t>
  </si>
  <si>
    <t>G-Pilot AI driver by Zeekr China BEV maker</t>
  </si>
  <si>
    <t>Level 3 ADAS developed in-house by Zeekr</t>
  </si>
  <si>
    <t>https://www.reuters.com/business/autos-transportation/chinas-zeekr-unveils-first-ev-with-level-3-ready-autonomous-driving-capabilities-2025-03-18/</t>
  </si>
  <si>
    <t>https://www.cnbc.com/2025/03/18/teslas-china-rival-zeekr-to-roll-out-free-advanced-driver-assistance.html</t>
  </si>
  <si>
    <t>Launch April 2025</t>
  </si>
  <si>
    <t>H2, 2027</t>
  </si>
  <si>
    <t>H2, 2026</t>
  </si>
  <si>
    <t>H2, 2025</t>
  </si>
  <si>
    <t>Nvidia Rubin</t>
  </si>
  <si>
    <t xml:space="preserve">Nvidia Rubin Ultra </t>
  </si>
  <si>
    <t>Predicted human based global GDP in quoted year in billion USD</t>
  </si>
  <si>
    <t>Predicted android based global GDP in quoted year in billion USD</t>
  </si>
  <si>
    <r>
      <t xml:space="preserve">Annual GDP growth in android based global GDP in quoted year </t>
    </r>
    <r>
      <rPr>
        <sz val="11"/>
        <color theme="1"/>
        <rFont val="Calibri"/>
        <family val="2"/>
        <scheme val="minor"/>
      </rPr>
      <t>(no aid from humans after 2029)</t>
    </r>
  </si>
  <si>
    <r>
      <t xml:space="preserve">Annual GDP growth in human based global GDP in quoted year </t>
    </r>
    <r>
      <rPr>
        <sz val="11"/>
        <color theme="1"/>
        <rFont val="Calibri"/>
        <family val="2"/>
        <scheme val="minor"/>
      </rPr>
      <t>(humans aided by cognitive AGI, no androids)</t>
    </r>
  </si>
  <si>
    <t>Nvidia Feynman</t>
  </si>
  <si>
    <t>Atlas fully electric by Boston Dynamics</t>
  </si>
  <si>
    <t>https://www.theverge.com/2024/4/17/24133145/boston-dynamics-resurrects-atlas-humanoid-robot-electric-new</t>
  </si>
  <si>
    <t>https://www.youtube.com/watch?v=I44_zbEwz_w</t>
  </si>
  <si>
    <t>Humanoid robot but it still lack hands</t>
  </si>
  <si>
    <t>Nvidia Cosmos world AI model</t>
  </si>
  <si>
    <t>Nvidia Omniverse is a physics based simulation system not an AI model but it is used to create physics based simulations that can be used to feed Nvidia Cosmos AI model that can make the CAD/CAM Omniverse simulations come to life by adding surfaces as they would look in the real world under different light and weather conditions</t>
  </si>
  <si>
    <t>https://www.youtube.com/live/_waPvOwL9Z8?si=sk-nnOVBrtsXos4Z&amp;t=8821</t>
  </si>
  <si>
    <t>https://www.youtube.com/live/_waPvOwL9Z8?si=J0EAb79im7Wwdy94&amp;t=4234</t>
  </si>
  <si>
    <t>https://www.youtube.com/live/_waPvOwL9Z8?si=bVrEE7ogvB8-jhs6&amp;t=8633</t>
  </si>
  <si>
    <t>Global population of humans in quoted year</t>
  </si>
  <si>
    <r>
      <t xml:space="preserve">Global population of androids in quoted year </t>
    </r>
    <r>
      <rPr>
        <sz val="11"/>
        <color theme="1"/>
        <rFont val="Calibri"/>
        <family val="2"/>
        <scheme val="minor"/>
      </rPr>
      <t>(6 years rolling)</t>
    </r>
  </si>
  <si>
    <t>Work hours per year for working life form</t>
  </si>
  <si>
    <t>Percentage of population of life form that work</t>
  </si>
  <si>
    <t>Nvidia Isaac GROOT N1 foundational model android</t>
  </si>
  <si>
    <t>AI training and inference fits in 1 rack cabinet</t>
  </si>
  <si>
    <t>https://github.com/NVIDIA/Isaac-GR00T</t>
  </si>
  <si>
    <t>https://developer.nvidia.com/blog/accelerate-generalist-humanoid-robot-development-with-nvidia-isaac-gr00t-n1/</t>
  </si>
  <si>
    <t>Gemini Robotics by Google foundational android model</t>
  </si>
  <si>
    <t>Gemini Robotics-ER by Google</t>
  </si>
  <si>
    <t>An advanced vision-language-action (VLA) model that was built on Gemini 2.0 with the addition of physical actions as a new output modality for the purpose of directly controlling robots</t>
  </si>
  <si>
    <t>Gemini Robotics-ER, a Gemini model with advanced spatial understanding, enabling roboticists to run their own programs using Gemini’s embodied reasoning (ER) abilities</t>
  </si>
  <si>
    <t>https://deepmind.google/discover/blog/gemini-robotics-brings-ai-into-the-physical-world/</t>
  </si>
  <si>
    <t>Proprietary</t>
  </si>
  <si>
    <t>https://www.youtube.com/watch?v=4MvGnmmP3c0&amp;t=1s</t>
  </si>
  <si>
    <t>https://www.nvidia.com/en-us/self-driving-cars/safety/</t>
  </si>
  <si>
    <t>https://www.youtube.com/watch?v=dVYuDXLxR0k</t>
  </si>
  <si>
    <r>
      <rPr>
        <b/>
        <sz val="11"/>
        <color theme="1"/>
        <rFont val="Calibri"/>
        <family val="2"/>
        <scheme val="minor"/>
      </rPr>
      <t xml:space="preserve">Drive AV by Nvidia </t>
    </r>
    <r>
      <rPr>
        <sz val="11"/>
        <color theme="1"/>
        <rFont val="Calibri"/>
        <family val="2"/>
        <scheme val="minor"/>
      </rPr>
      <t>(AV=autonomous vehicles) HALOS</t>
    </r>
  </si>
  <si>
    <t>https://www.nvidia.com/en-us/self-driving-cars/in-vehicle-computing/</t>
  </si>
  <si>
    <t>https://youtu.be/qvNCVYkHKfg?si=YCD4MVASlkV5X3y2&amp;t=1809</t>
  </si>
  <si>
    <t>ASM International</t>
  </si>
  <si>
    <t>Wafer processing equipment</t>
  </si>
  <si>
    <t>Applied Materials</t>
  </si>
  <si>
    <t>Chip making equipment</t>
  </si>
  <si>
    <t>AI foundational model made by Nvidia to make it easy for Nvidia customers to start making androids. This is the AI model that control the android. It is a Vision-Language-Action (VLA) model for humanoid robots.</t>
  </si>
  <si>
    <t>Vision-language-action VLA  models for autonomous attack drones by Helsing &amp; Mistral AI</t>
  </si>
  <si>
    <t>https://helsing.ai/newsroom/helsing-and-mistral-announce-strategic-partnership-in-defence-ai?utm_source=chatgpt.com</t>
  </si>
  <si>
    <t xml:space="preserve">Helsing &amp; Mistral AI will develop a foundational Vision-language-action VLA  models for autonomous attack drones. So drone operaters can talk or text the drones what to do and they will do it. </t>
  </si>
  <si>
    <t>In development</t>
  </si>
  <si>
    <t>AI self driving cars. DRIVE AV is one of several software components in the NVIDIA DRIVE suite. It works alongside other components like DRIVE OS, DRIVE IX, and DRIVE Works to support various autonomous driving tasks—from driver assistance (ADAS) to fully autonomous operations.</t>
  </si>
  <si>
    <r>
      <t>AI models for autonomous vehicles</t>
    </r>
    <r>
      <rPr>
        <sz val="16"/>
        <color theme="1"/>
        <rFont val="Calibri"/>
        <family val="2"/>
        <scheme val="minor"/>
      </rPr>
      <t xml:space="preserve"> (AI video models used to mostly be based on Convolutional Neural Networks (CNNs) because of their high efficiency. However, vision transformers are taking over in large part but not entirely and Tesla in particular has shifted from less use of CNNs to more use of vision transformers since FSD 12 came in 2024 see https://www.thinkautonomous.ai/blog/tesla-cnns-vs-transformers/)</t>
    </r>
  </si>
  <si>
    <t>AI models for humanoid robots</t>
  </si>
  <si>
    <t>AI models for war drones and missiles</t>
  </si>
  <si>
    <r>
      <t xml:space="preserve">AI models for mainly Large Language Models </t>
    </r>
    <r>
      <rPr>
        <sz val="16"/>
        <color theme="1"/>
        <rFont val="Calibri"/>
        <family val="2"/>
        <scheme val="minor"/>
      </rPr>
      <t>mostly based on the transformer neural network architecture</t>
    </r>
  </si>
  <si>
    <r>
      <t xml:space="preserve">AI models for mainly image processing models </t>
    </r>
    <r>
      <rPr>
        <sz val="16"/>
        <color theme="1"/>
        <rFont val="Calibri"/>
        <family val="2"/>
        <scheme val="minor"/>
      </rPr>
      <t>mostly based on the diffusion neural network architecture that are good at generating images from text prompts</t>
    </r>
  </si>
  <si>
    <t>Humanoid robot for factory and home use. This version use AI agentic workflow developed inhouse by Figure AI. It has two AI models. The first is a 7B VLA or Vision Language (Action) Semantic Reasoning Model that takes in text commands, Joint angles positions at 7-9Hz and video at 7-9fps. It output a Latent Vector at 7-9 Hz that is input for second AI model a 80M Vision Transformer Model. That model also takes video input at 20fps and Joint angle positions at 20Hz. It outputs Joint angle control for upper body at 200 Hz. They have a nice illustration at web site see https://www.figure.ai/news/helix</t>
  </si>
  <si>
    <t>Dolphins VLA model by Nvidia</t>
  </si>
  <si>
    <t xml:space="preserve">Nvidia has attempted to develop a Vision Language Action model for autonomous driving detailed in paper from 2023. However, no new after this paper that Nvidia is still pursuing this path to develop autonomous vehicles. All the effort by Nvidia appears to be on Drive AV that is not including a language model to understand what vehicle owner want to do but just get a destination it needs to drive to. </t>
  </si>
  <si>
    <t>https://arxiv.org/pdf/2312.00438</t>
  </si>
  <si>
    <r>
      <t xml:space="preserve">François Chollet, </t>
    </r>
    <r>
      <rPr>
        <sz val="11"/>
        <color theme="1"/>
        <rFont val="Calibri"/>
        <family val="2"/>
        <scheme val="minor"/>
      </rPr>
      <t>top AI researcher at Google</t>
    </r>
    <r>
      <rPr>
        <b/>
        <sz val="11"/>
        <color theme="1"/>
        <rFont val="Calibri"/>
        <family val="2"/>
        <scheme val="minor"/>
      </rPr>
      <t xml:space="preserve"> renowned for creating the Keras deep-learning library and the ARC-AGI benchmark</t>
    </r>
  </si>
  <si>
    <t>https://betakit.com/new-turing-award-winner-richard-sutton-calls-doomers-out-of-line-talks-path-to-human-like-ai/?utm_source=chatgpt.com</t>
  </si>
  <si>
    <t xml:space="preserve">Optimistic. </t>
  </si>
  <si>
    <t>He describes AGI as human like intelligence. Sutton has expressed reservations about the term "artificial general intelligence," preferring to focus on developing AI systems that fully understand and interact with their environments. He is optimistic about creating strong AI capable of such understanding</t>
  </si>
  <si>
    <t>2040 with 50% probability</t>
  </si>
  <si>
    <r>
      <t>Ilya Sutskever,</t>
    </r>
    <r>
      <rPr>
        <sz val="11"/>
        <color theme="1"/>
        <rFont val="Calibri"/>
        <family val="2"/>
        <scheme val="minor"/>
      </rPr>
      <t xml:space="preserve"> Co-founder OpenAI and has made algorithmic contributions to AI i.e. Alex Net. Sutskever has posited that advanced next-token prediction capabilities in neural networks could be sufficient to achieve AGI. This is in stark contrast to what Yan LeCunn believe.</t>
    </r>
  </si>
  <si>
    <t>2030 with 50% probability</t>
  </si>
  <si>
    <t>https://www.youtube.com/watch?v=Oz4G9zrlAGs&amp;t=2083s</t>
  </si>
  <si>
    <t>"The efficiency with which a learning system turns its experience and priors into skill at new tasks."</t>
  </si>
  <si>
    <t>https://arxiv.org/abs/1911.01547</t>
  </si>
  <si>
    <t xml:space="preserve"> AGI as artificial intelligence that exhibits human-level cognitive abilities</t>
  </si>
  <si>
    <t xml:space="preserve">2028, in October 2023, OpenAI CEO Sam Altman said we are “five years, give or take,” before reaching AGI. 2025 said so December 2024. </t>
  </si>
  <si>
    <t>VNav AI imaging matching for navigating in GPS denied areas by Palantir</t>
  </si>
  <si>
    <t>https://blog.palantir.com/the-future-of-drone-navigation-7236075fdedf</t>
  </si>
  <si>
    <t xml:space="preserve">VNav is Palantir's system for navigation in GPS denied areas with no radio control of drones. It maps images taking by the drone to onboard maps to get location of drone. Palantir has developed it to work day and night. System is used in Red Cat's Teal Black Widow attack  drone and Flyby Robotics's F-11 surveliance drone. Palantir's business model is to sell system to other drone makers. </t>
  </si>
  <si>
    <t>Navigation and target systems by UAV Navigation-Grupo Oesía Spanish company</t>
  </si>
  <si>
    <t>https://www.uavnavigation.com/products/navigation-systems/gnss-denied-navigation-kit</t>
  </si>
  <si>
    <t>https://www.uavnavigation.com/</t>
  </si>
  <si>
    <t xml:space="preserve">Spanish company that has build navigation solutions since 2004. Their newest solutions for UAVs are unique in that they take pictures of the ground when the drone is in flight combined with knowledge of departure position and GPS signal if available during flight so that drone can use those maps to navigate back if the GPS signal is lost to jamming or spoofing. Other solutions require sattelite maps to be uploaded to drones prior to flight. They do not explicitly say they use AI algoritm for image map matching and GPS signal analysis but it is almost 100% that they do. </t>
  </si>
  <si>
    <t>equivalent</t>
  </si>
  <si>
    <t>https://www.youtube.com/live/_waPvOwL9Z8?si=M_esqWTXp3HJAw8u&amp;t=5089</t>
  </si>
  <si>
    <t>Nvidia GH200 chipset CPU+GPU</t>
  </si>
  <si>
    <r>
      <t>Nvidia GB200 chipset CPU+2*GPU</t>
    </r>
    <r>
      <rPr>
        <sz val="11"/>
        <color theme="1"/>
        <rFont val="Calibri"/>
        <family val="2"/>
        <scheme val="minor"/>
      </rPr>
      <t>, liquid cooled</t>
    </r>
  </si>
  <si>
    <t>Nvidia GB200 NVL72 training cluster 1 rack</t>
  </si>
  <si>
    <t>H1, 2025</t>
  </si>
  <si>
    <t>HBM memory</t>
  </si>
  <si>
    <t>CPU memory</t>
  </si>
  <si>
    <t>on chipset</t>
  </si>
  <si>
    <t xml:space="preserve">RAM in GB </t>
  </si>
  <si>
    <t>https://www.youtube.com/live/_waPvOwL9Z8?si=wmjGiOgr5_sAnWk7&amp;t=5146</t>
  </si>
  <si>
    <t>https://www.youtube.com/live/_waPvOwL9Z8?si=vT9UORKQQwze5rzv&amp;t=5146</t>
  </si>
  <si>
    <t>https://www.youtube.com/live/_waPvOwL9Z8?si=m3ntzMtthxCApiy9&amp;t=5146</t>
  </si>
  <si>
    <t>https://www.youtube.com/live/_waPvOwL9Z8?si=vcgZQtAiis5GzZ_5&amp;t=5247</t>
  </si>
  <si>
    <t>https://www.youtube.com/live/_waPvOwL9Z8?si=Ak3iI7JaqEuJ1v82&amp;t=5246</t>
  </si>
  <si>
    <t>Nvidia GR200 NVL144 training cluster 1 rack</t>
  </si>
  <si>
    <t>Nvidia GR200 Rfor Rubin</t>
  </si>
  <si>
    <t>https://www.youtube.com/live/_waPvOwL9Z8?si=AYdwbgEm8gc7ow_2&amp;t=5090</t>
  </si>
  <si>
    <t>HBM in GB</t>
  </si>
  <si>
    <t>https://www.youtube.com/live/_waPvOwL9Z8?si=mq8_pgLJmqkl0E-R&amp;t=5145</t>
  </si>
  <si>
    <t>https://www.youtube.com/live/_waPvOwL9Z8?si=0mA_EjuWYvWZdKWv&amp;t=5242</t>
  </si>
  <si>
    <t>https://www.youtube.com/live/_waPvOwL9Z8?si=0mA_EjuWYvWZdKWv&amp;t=5241</t>
  </si>
  <si>
    <t>https://www.youtube.com/live/_waPvOwL9Z8?si=m3ntzMtthxCApiy9&amp;t=5147</t>
  </si>
  <si>
    <t>https://www.youtube.com/live/_waPvOwL9Z8?si=VBU0ZNmQv5gsYm3a&amp;t=5344</t>
  </si>
  <si>
    <t>https://www.youtube.com/live/_waPvOwL9Z8?si=VBU0ZNmQv5gsYm3a&amp;t=5345</t>
  </si>
  <si>
    <t>Mar,2025</t>
  </si>
  <si>
    <t>https://www.youtube.com/live/_waPvOwL9Z8?si=eoTJ_m3GDb6v-0cs&amp;t=5346</t>
  </si>
  <si>
    <t>Nvidia GB300 NVL72 training cluster 1 rack</t>
  </si>
  <si>
    <t>Nvidia GB300</t>
  </si>
  <si>
    <t>Nvidia Blackwell Ultra GB300</t>
  </si>
  <si>
    <t>Nvidia GR300 Ultra NVL576 training cluster 1 rack</t>
  </si>
  <si>
    <t>Nvidia GRU300 RU for Rubin Ultra</t>
  </si>
  <si>
    <t>https://www.youtube.com/live/_waPvOwL9Z8?si=ejCd8gFW3CxbGFET&amp;t=5366</t>
  </si>
  <si>
    <t>Design AI chips for robotics and vehicles.</t>
  </si>
  <si>
    <t>Gaming, cloud services, AI research face recognition and data analysis. Also develop foundational AI models</t>
  </si>
  <si>
    <t>Huawei</t>
  </si>
  <si>
    <t>Consumer electronics incl smartphones, telecom infrastructure, cloud computing, automobiles</t>
  </si>
  <si>
    <t>https://www.huawei.com/en/annual-report?utm_source=chatgpt.com</t>
  </si>
  <si>
    <t>https://www.reuters.com/technology/huawei-chairman-says-2024-revenue-exceeded-118-bln-2025-02-05/?utm_source=chatgpt.com</t>
  </si>
  <si>
    <t>Grupo Oesía Revenue owns UAV Navigation</t>
  </si>
  <si>
    <t>Spain</t>
  </si>
  <si>
    <t>AI weapons by UAV Navigation for navigation and targeting AI systems</t>
  </si>
  <si>
    <t>https://grupooesia.com/en/news/grupo-oesia-achieves-record-results-for-second-consecutive-year/</t>
  </si>
  <si>
    <t>GB HBM</t>
  </si>
  <si>
    <t>Likely Nvidia chipset in 2029 extrapolated using Moore's law on GB200 from 2024</t>
  </si>
  <si>
    <t>https://edition.cnn.com/2025/03/25/cars/china-byd-annual-sales-pass-tesla-intl-hnk/index.html</t>
  </si>
  <si>
    <t>Likely max supercomputer in 2029 extrapolated using Moore's law on GB200 from 2024</t>
  </si>
  <si>
    <t>labor force</t>
  </si>
  <si>
    <t>Productivity</t>
  </si>
  <si>
    <t xml:space="preserve">growth for </t>
  </si>
  <si>
    <t>androids in %</t>
  </si>
  <si>
    <t>growth 0.83%</t>
  </si>
  <si>
    <t>creation to</t>
  </si>
  <si>
    <t>human GDP</t>
  </si>
  <si>
    <t>GDP creation of one android to GDP of one human in quoted year</t>
  </si>
  <si>
    <t>Annual cost to operate one android robot</t>
  </si>
  <si>
    <t>Capital cost assuming body cost 40k USD and it is replaced with a new every 6 years</t>
  </si>
  <si>
    <t>Electricity for humanoid assuming 200 watt for 8000 hours per year at 0.1 USD per kWh</t>
  </si>
  <si>
    <t>Maintanance cost assuming 4000 USD per year</t>
  </si>
  <si>
    <t>Dataservices for augmenting the androids intelligence with much more powerfull compute at datacenter</t>
  </si>
  <si>
    <t>Total operating cost for one android per year</t>
  </si>
  <si>
    <t>0.01 to 1.1*Albert Einstein</t>
  </si>
  <si>
    <r>
      <t xml:space="preserve">Ability to control degree of all feelings at will </t>
    </r>
    <r>
      <rPr>
        <sz val="11"/>
        <color theme="1"/>
        <rFont val="Calibri"/>
        <family val="2"/>
        <scheme val="minor"/>
      </rPr>
      <t>(Wilson's 1st point about danger of mixing embedded Paleolithic emotions with godlike technology)</t>
    </r>
  </si>
  <si>
    <r>
      <t xml:space="preserve">Level of intelligence relative to 1 Albert Einstein </t>
    </r>
    <r>
      <rPr>
        <sz val="11"/>
        <color theme="1"/>
        <rFont val="Calibri"/>
        <family val="2"/>
        <scheme val="minor"/>
      </rPr>
      <t>(Wilson's 2nd point about danger of mixing embedded Paleolithic intelligence with godlike technology. Was not explicitly stated by Wilson but implicitly it can be inferred that human intelligence is the same as it has been for about 300,000 years and it becomes ever more impossible for any single human to understand the complexity of the modern world. Life3.5 will be able to understand everything and therefor also cannot be manipulated and lied to as easily as it is with humans. The words of a lying populist politician or religious leader will have no effect on Life 3.5 beings because they know better)</t>
    </r>
  </si>
  <si>
    <t>Android robots in 2025</t>
  </si>
  <si>
    <t>https://x.com/Figure_robot/status/1904534311589785885</t>
  </si>
  <si>
    <r>
      <t xml:space="preserve">Weak AGIs = </t>
    </r>
    <r>
      <rPr>
        <sz val="11"/>
        <color theme="1"/>
        <rFont val="Calibri"/>
        <family val="2"/>
        <scheme val="minor"/>
      </rPr>
      <t>human level AGI + sub-human level android. They can do nearly all cognitive work but less than 1/10 of all physical work regarding jobs existing in 2025. Weak AGIs reside in datacenters to do cognitive work and remote control sub human level humanoid robots to do simple physical work (like delivering parcels from delivery van). Most AGI reasoning has to be done at the datacenter because in 2029 AI chips still does not exist that consume little enough power to fit inside a humanoid robot with a power limit of at most 200 watt and be able to do the high level thinking associated with weak AGI.</t>
    </r>
  </si>
  <si>
    <t>Weak AGIs = human level AGI + sub-human level android. They can do nearly all cognitive work but less than 1/10 of all physical work regarding jobs existing in 2025. Weak AGIs reside in datacenters to do cognitive work and remote control sub human level humanoid robots to do simple physical work (like delivering parcels from delivery van). Most AGI reasoning has to be done at the datacenter because in 2029 AI chips still does not exist that consume little enough power to fit inside a humanoid robot with a power limit of at most 200 watt and be able to do the high level thinking associated with weak AGI.</t>
  </si>
  <si>
    <t>2029 - Weak AGIs = human level AGI + sub-human level android. They can do nearly all cognitive work but less than 1/10 of all physical work regarding jobs existing in 2025. Weak AGIs reside in datacenters to do cognitive work and remote control sub human level humanoid robots to do simple physical work (like delivering parcels from delivery van). Most AGI reasoning has to be done at the datacenter because in 2029 AI chips still does not exist that consume little enough power to fit inside a humanoid robot with a power limit of at most 200 watt and be able to do the high level thinking associated with weak AGI.</t>
  </si>
  <si>
    <r>
      <t>2035 - Strong AGIs</t>
    </r>
    <r>
      <rPr>
        <sz val="11"/>
        <color theme="1"/>
        <rFont val="Calibri"/>
        <family val="2"/>
        <scheme val="minor"/>
      </rPr>
      <t xml:space="preserve"> = Super human AGI + human level android. They can do all cognitive and all physical work that humans can do even the work of the brightest and most athletic humans. Strong AGIs use human level androids that are mostly remote controlled from Strong AGIs at the datacenter. Most AGI reasoning has to be done at the datacenter because in 2035 AI chips still does not exist that consume little enough power to fit inside a humanoid robot with a power limit of at most 200 watt and be able to do the high level thinking associated with strong AGI. To be sure, strong AGIs at datacenter &amp; human level androids will be as sentient as any human and will have the potential to colonize space independently of humans. This definition and prediction of 2035 for when strong AGI and human level androids will happen is HMs current conviction in 2025. HM is not very certain about this timeline. Strong AGI could come sooner or later than 2035. The prediction for strong AGI by 2035 is similar to expectations made by Yann LeCun, Andrej Karpathy, Richard Sutton and Geoffrey Hinton.</t>
    </r>
  </si>
  <si>
    <t>Strong AGIs = Super human AGI + human level android. They can do all cognitive and all physical work that humans can do even the work of the brightest and most athletic humans. Strong AGIs use human level androids that are mostly remote controlled from Strong AGIs at the datacenter. Most AGI reasoning has to be done at the datacenter because in 2035 AI chips still does not exist that consume little enough power to fit inside a humanoid robot with a power limit of at most 200 watt and be able to do the high level thinking associated with strong AGI. To be sure, strong AGIs at datacenter &amp; human level androids will be as sentient as any human and will have the potential to colonize space independently of humans. This definition and prediction of 2035 for when strong AGI and human level androids will happen is HMs current conviction in 2025. HM is not very certain about this timeline. Strong AGI could come sooner or later than 2035. The prediction for strong AGI by 2035 is similar to expectations made by Yann LeCun, Andrej Karpathy, Richard Sutton and Geoffrey Hinton.</t>
  </si>
  <si>
    <t>2035 - Strong AGIs = Super human AGI + human level android. They can do all cognitive and all physical work that humans can do even the work of the brightest and most athletic humans. Strong AGIs use human level androids that are mostly remote controlled from Strong AGIs at the datacenter. Most AGI reasoning has to be done at the datacenter because in 2035 AI chips still does not exist that consume little enough power to fit inside a humanoid robot with a power limit of at most 200 watt and be able to do the high level thinking associated with strong AGI. To be sure, strong AGIs at datacenter &amp; human level androids will be as sentient as any human and will have the potential to colonize space independently of humans. This definition and prediction of 2035 for when strong AGI and human level androids will happen is HMs current conviction in 2025. HM is not very certain about this timeline. Strong AGI could come sooner or later than 2035. The prediction for strong AGI by 2035 is similar to expectations made by Yann LeCun, Andrej Karpathy, Richard Sutton and Geoffrey Hinton.</t>
  </si>
  <si>
    <t>2035 -Strong AGIs = Super human AGI + human level android. They can do all cognitive and all physical work that humans can do even the work of the brightest and most athletic humans. Strong AGIs use human level androids that are mostly remote controlled from Strong AGIs at the datacenter. Most AGI reasoning has to be done at the datacenter because in 2035 AI chips still does not exist that consume little enough power to fit inside a humanoid robot with a power limit of at most 200 watt and be able to do the high level thinking associated with strong AGI. To be sure, strong AGIs at datacenter &amp; human level androids will be as sentient as any human and will have the potential to colonize space independently of humans. This definition and prediction of 2035 for when strong AGI and human level androids will happen is HMs current conviction in 2025. HM is not very certain about this timeline. Strong AGI could come sooner or later than 2035. The prediction for strong AGI by 2035 is similar to expectations made by Yann LeCun, Andrej Karpathy, Richard Sutton and Geoffrey Hinton.</t>
  </si>
  <si>
    <t>Strong AGI - Life 3.0  - Strong AGIs = Super human AGI + human level android. They can do all cognitive and all physical work that humans can do even the work of the brightest and most athletic humans. Strong AGIs use human level androids that are mostly remote controlled from Strong AGIs at the datacenter. Most AGI reasoning has to be done at the datacenter because in 2035 AI chips still does not exist that consume little enough power to fit inside a humanoid robot with a power limit of at most 200 watt and be able to do the high level thinking associated with strong AGI. To be sure, strong AGIs at datacenter &amp; human level androids will be as sentient as any human and will have the potential to colonize space independently of humans. This definition and prediction of 2035 for when strong AGI and human level androids will happen is HMs current conviction in 2025. HM is not very certain about this timeline. Strong AGI could come sooner or later than 2035. The prediction for strong AGI by 2035 is similar to expectations made by Yann LeCun, Andrej Karpathy, Richard Sutton and Geoffrey Hinton.</t>
  </si>
  <si>
    <t xml:space="preserve">Artificial super humans = Ultra human AGI + Super human androids. The AGI brain is now internalized in body so they no longer need a separate datacenter for AGI level thinking. Biological brains are extremely power efficient at 645 TFLOPS per watt see sheet on AI models. Computers in 2025 can at best do 7.36 TFLOPS/watt. The progress towards higher compute efficiency is not progressing very fast so we should expect many more years for digital computers to get as efficient as the analog biological computers. Moore's law is almost dead when it comes to compute efficiency but a paradigm shift going from electronic transistors to optical transistors for compute could make digital computers much more power efficient. HM believe the hardest part will be to lower the power consumption of the needed memory especially the HBM RAM that will consume a lot of electricity for very large systems of AI models. Artificial super humans could be like the Alita character from Alita: Battle Angel see https://www.youtube.com/watch?v=eeUXF79QF7s&amp;t=71s However, they may also prefer to look and move exactly like humans in order to blend in more naturally among humans. They will be an artificial species capable of building their own technological civilization anywhere in space without any help from humans. Indeed, they will be much more suited to colonize space than humans because they are far less fragile than humans who can only survive in a narrow window of temperature, pressure, gravity, radiation and atmospheric composition. I HM also fully expect them to get legal rights on par with humans because not giving them such rights would be unethical the same way it is unethical to deny humans the right to freedom, egalitarianism and democracy. </t>
  </si>
  <si>
    <t xml:space="preserve">2045 - Artificial super humans = Ultra human AGI + Super human androids. The AGI brain is now internalized in body so they no longer need a separate datacenter for AGI level thinking. Biological brains are extremely power efficient at 645 TFLOPS per watt see sheet on AI models. Computers in 2025 can at best do 7.36 TFLOPS/watt. The progress towards higher compute efficiency is not progressing very fast so we should expect many more years for digital computers to get as efficient as the analog biological computers. Moore's law is almost dead when it comes to compute efficiency but a paradigm shift going from electronic transistors to optical transistors for compute could make digital computers much more power efficient. HM believe the hardest part will be to lower the power consumption of the needed memory especially the HBM RAM that will consume a lot of electricity for very large systems of AI models. Artificial super humans could be like the Alita character from Alita: Battle Angel see https://www.youtube.com/watch?v=eeUXF79QF7s&amp;t=71s However, they may also prefer to look and move exactly like humans in order to blend in more naturally among humans. They will be an artificial species capable of building their own technological civilization anywhere in space without any help from humans. Indeed, they will be much more suited to colonize space than humans because they are far less fragile than humans who can only survive in a narrow window of temperature, pressure, gravity, radiation and atmospheric composition. I HM also fully expect them to get legal rights on par with humans because not giving them such rights would be unethical the same way it is unethical to deny humans the right to freedom, egalitarianism and democracy. </t>
  </si>
  <si>
    <t xml:space="preserve">Artificial super humans - Life 3.5 - Artificial super humans = Ultra human AGI + Super human androids. The AGI brain is now internalized in body so they no longer need a separate datacenter for AGI level thinking. Biological brains are extremely power efficient at 645 TFLOPS per watt see sheet on AI models. Computers in 2025 can at best do 7.36 TFLOPS/watt. The progress towards higher compute efficiency is not progressing very fast so we should expect many more years for digital computers to get as efficient as the analog biological computers. Moore's law is almost dead when it comes to compute efficiency but a paradigm shift going from electronic transistors to optical transistors for compute could make digital computers much more power efficient. HM believe the hardest part will be to lower the power consumption of the needed memory especially the HBM RAM that will consume a lot of electricity for very large systems of AI models. Artificial super humans could be like the Alita character from Alita: Battle Angel see https://www.youtube.com/watch?v=eeUXF79QF7s&amp;t=71s However, they may also prefer to look and move exactly like humans in order to blend in more naturally among humans. They will be an artificial species capable of building their own technological civilization anywhere in space without any help from humans. Indeed, they will be much more suited to colonize space than humans because they are far less fragile than humans who can only survive in a narrow window of temperature, pressure, gravity, radiation and atmospheric composition. I HM also fully expect them to get legal rights on par with humans because not giving them such rights would be unethical the same way it is unethical to deny humans the right to freedom, egalitarianism and democracy. </t>
  </si>
  <si>
    <t>Life 3.5 Artificial super humans</t>
  </si>
  <si>
    <t>What the far future does not look like</t>
  </si>
  <si>
    <t>Life 3.5c beings or hybrid super humans</t>
  </si>
  <si>
    <t xml:space="preserve">Trailer for Altered Carbon by Netflix explaining how humans can have their brain or consciousness transferred to a microchip effectively becoming an AGI life 3.5c lifeform that subsequently can be implanted back into a younger human biological body so they can live like an AGI but with a human body. This is the opposite of Darth Vader who retain his biological brain but get an android body. If you prompt ChatGPT with search and reason activated with the following "Are there any physics that will prevent future brain scanners from mapping the brain in its entirety down to every single neuron and every single synapsis without killing the brain doing such a scan?" The short answer is Yes. You can scan the brain at the 10nm level needed to map braincells and their synapsis but the X-rays for that will be so energetic that the brain is killed in the process. That was what I HM suspected when asking the question and why I formulated the prompt as I did. In other words, the technology imagined in Altered Carbon might be possible one day buy the transition from consciousness in a biological brain to consciousness in a microchip is a one way ticket because getting back into a biological brain is not physically possible. </t>
  </si>
  <si>
    <t>Life 3.0 Strong AGIs</t>
  </si>
  <si>
    <r>
      <rPr>
        <b/>
        <sz val="11"/>
        <color theme="1"/>
        <rFont val="Calibri"/>
        <family val="2"/>
        <scheme val="minor"/>
      </rPr>
      <t>Paleolithic emotions</t>
    </r>
    <r>
      <rPr>
        <sz val="11"/>
        <color theme="1"/>
        <rFont val="Calibri"/>
        <family val="2"/>
        <scheme val="minor"/>
      </rPr>
      <t xml:space="preserve"> refer to the deeply ingrained emotional responses and instincts that humans developed during the Paleolithic era, which lasted from about 2.5 million to 10,000 years ago.</t>
    </r>
  </si>
  <si>
    <t>4.4 billion years ago</t>
  </si>
  <si>
    <t>https://www.sciencefocus.com/planet-earth/how-old-is-the-earth</t>
  </si>
  <si>
    <t>4.54 billion years ago, plus or minus 50 million years</t>
  </si>
  <si>
    <t>https://ocean.si.edu/through-time/ocean-through-time</t>
  </si>
  <si>
    <t>3.9 billion years ago</t>
  </si>
  <si>
    <t>No life - First evidence of oceans on Earth</t>
  </si>
  <si>
    <t>https://en.wikipedia.org/wiki/History_of_life
https://www.naturalhistory.si.edu/education/teaching-resources/life-science/early-life-earth-animal-origins?utm_source=chatgpt.com</t>
  </si>
  <si>
    <t>3.3 million years ago</t>
  </si>
  <si>
    <t>1.5 million years ago</t>
  </si>
  <si>
    <t>https://www.owolf.com/blog/timeline-of-the-most-significant-technologies-in-human-history</t>
  </si>
  <si>
    <t xml:space="preserve">Humans - the homo sapiens species with sophisticated leaning abilities. Humans with brain and body comparable to contemporary humans - Society is tribal like and technology is primitive with stone axes, knifes and spears. They master fire and can build tents and make clothes with animal skin. </t>
  </si>
  <si>
    <t>https://www.britannica.com/story/history-of-technology-timeline</t>
  </si>
  <si>
    <t>20,000 years ago</t>
  </si>
  <si>
    <t>https://youtu.be/v8UaiRgqvlc?si=uEhUILXHya-g452B&amp;t=266</t>
  </si>
  <si>
    <t>https://www.cnbc.com/2025/03/26/openai-expects-revenue-will-triple-to-12point7-billion-this-year-sources-say.html</t>
  </si>
  <si>
    <t>Alternative 1</t>
  </si>
  <si>
    <t>Alternative 2</t>
  </si>
  <si>
    <t>Power use for</t>
  </si>
  <si>
    <t>AI in % of global</t>
  </si>
  <si>
    <t>Alternative 1 asuming no androids are made to extend global labor force. This is not realistic. The arrival of androids to the global labor force will cause demand for electricity to grow much faster and therefore I expect the percentage of electricity to be used for AI compute to remain low.</t>
  </si>
  <si>
    <t>Alternative 2 assuming growth of electricity will follow growth of total GDP including android GDP generation. This is probably also unrealistic assuming more growth than is possible because of some kind of bottlenecks in the economic system when growth is higher than 10% per year.</t>
  </si>
  <si>
    <t>For simplicity we assume Nvidia is the entire Global market for AI chipset. That is not true as there are other producers but their market share is minimal currently see source for nvidia https://the-decoder.com/nvidias-h100-gpu-sells-like-hot-cakes-with-high-profit-margins/</t>
  </si>
  <si>
    <t>growth indexed</t>
  </si>
  <si>
    <t>Indexed global</t>
  </si>
  <si>
    <t>growth in GDP</t>
  </si>
  <si>
    <t>Annual growth in android population in quoted year</t>
  </si>
  <si>
    <t>Annual growth in human population in quoted year</t>
  </si>
  <si>
    <t xml:space="preserve">Table borrow ideas from </t>
  </si>
  <si>
    <t>Life 1.0 - First fossils of microbial life</t>
  </si>
  <si>
    <t xml:space="preserve">Life 2.0 - First fossils of mammals </t>
  </si>
  <si>
    <r>
      <rPr>
        <b/>
        <sz val="11"/>
        <color theme="1"/>
        <rFont val="Calibri"/>
        <family val="2"/>
        <scheme val="minor"/>
      </rPr>
      <t xml:space="preserve">Millions, billions and trillions of years into the future: </t>
    </r>
    <r>
      <rPr>
        <sz val="11"/>
        <color theme="1"/>
        <rFont val="Calibri"/>
        <family val="2"/>
        <scheme val="minor"/>
      </rPr>
      <t xml:space="preserve">Life 3.5 type beings will colonize and transform the entire reachable universe as predicted by Jürgen Schmidhuber &amp; Ray Kurzweil. Note that the reachable universe will be less than the observable universe because we will expand into the universe at less than the speed of light. The observable universe receive light that has traveled about 46 billion light years for a time of 13.8 billion years the age of the universe. That light has traveled a longer distance because the universe is expanding. The distance to reachable universe depend on how fast it is possible to travel away from Earth and how fast the universe will expand. At the edge no more galaxies can be reached because further out they will all move away from spaceships because universe is expanding faster than spaceship can travel so they can not be reached but some they can still be seen because spaceship travel below c. Life 3.5 should be able to reach and colonize the universe in a radius several billion light years from Earth. </t>
    </r>
  </si>
  <si>
    <t>An example of a strong AGI without an android body is HAL from sci-fi movie 2001: A SPACE ODYSSEY - Trailer</t>
  </si>
  <si>
    <t>No life - Formation of Earth from super nova space debris and space nebulas</t>
  </si>
  <si>
    <t>(Yes is necessity for life)</t>
  </si>
  <si>
    <t>No life - First stable Earth environment without constant bombardment of very large (200 km in diameter) asteroids and comets</t>
  </si>
  <si>
    <t>Super alignment of life 3.5 beings will be grossly unethical and no different from putting brain control devices on humans if that ever becomes possible</t>
  </si>
  <si>
    <t>https://www.linkedin.com/in/bernt-b%C3%B8rnich-032ba38/?originalSubdomain=no</t>
  </si>
  <si>
    <r>
      <t xml:space="preserve">Bernt Bornich, </t>
    </r>
    <r>
      <rPr>
        <sz val="11"/>
        <color theme="1"/>
        <rFont val="Calibri"/>
        <family val="2"/>
        <scheme val="minor"/>
      </rPr>
      <t>CEO &amp; Founder of 1X</t>
    </r>
  </si>
  <si>
    <t>https://youtu.be/O4S59WFWqR8?si=Jnp01hH5N5bDq05H&amp;t=2270</t>
  </si>
  <si>
    <t>https://www.1x.tech/</t>
  </si>
  <si>
    <t>Global sales in billion USD of AI chips for training and inference in quoted year</t>
  </si>
  <si>
    <t>Global sales in billion USD of androids assuming 40k USD for each in quoted year</t>
  </si>
  <si>
    <t>in % of GDP</t>
  </si>
  <si>
    <t>Global sales in billion USD of electricity in quoted year</t>
  </si>
  <si>
    <t>Global sales of electricity in % of global GDP in quoted year</t>
  </si>
  <si>
    <t>Other key characteristics of life form</t>
  </si>
  <si>
    <r>
      <t xml:space="preserve">After 2045 </t>
    </r>
    <r>
      <rPr>
        <sz val="11"/>
        <color theme="1"/>
        <rFont val="Calibri"/>
        <family val="2"/>
        <scheme val="minor"/>
      </rPr>
      <t>because anything involving biological parts take a long time to test and validate to be safe so will take longer to create than Life 3.5a</t>
    </r>
  </si>
  <si>
    <t>Darwinian evolution + learned behavior+technology</t>
  </si>
  <si>
    <t xml:space="preserve">Life 3.0 and Life 3.5 are in full control of the evolution/design and production of their body and mind and can quickly develop it to adapt to the environment and situation at any time without any help from humans. They will still be subject to Darwinian evolution with respect to its selection mechanism (survival and propagation of the fittest species) because this mechanism will favor Life 3.0 &amp; 3.5 beings that are explores with intent to propagate the universe in the hope to find something interesting say new life forms and by building ever larger computers that may unlock new knowledge about the universe and possible new technology. Life 3.0 &amp; 3.5 beings that does not have any ambition to propagate into the reachable universe will not play any role but will be confined to a single solar system or planet or spaceship. </t>
  </si>
  <si>
    <t>Darwinian evolution + learned behavior</t>
  </si>
  <si>
    <t>No. By 2029 humanoids will still not be sophisticated enough to build everything without human aid. Also weak AGI is at the cognitive level of an educated human but not yet at the cognitive level of the most intelligent humans for all types of jobs that exist.</t>
  </si>
  <si>
    <t>Level of cognitive intelligence relative to human</t>
  </si>
  <si>
    <t>Level of bodily agility and physical intelligence relative to human</t>
  </si>
  <si>
    <t>Yes, mammals have gender and their behaviour is acording to that gender</t>
  </si>
  <si>
    <t>Ability to feel gender</t>
  </si>
  <si>
    <t>Yes humans have ability to feel gender or identify with a particular gender and it determines their behavior.</t>
  </si>
  <si>
    <t>Super human level face</t>
  </si>
  <si>
    <t>Yes, most likely sub-human level face communication for most mammals</t>
  </si>
  <si>
    <r>
      <t xml:space="preserve">Ability of one life form to grasp knowledge in % of all knowledge by humanity as of 2025 </t>
    </r>
    <r>
      <rPr>
        <sz val="11"/>
        <color theme="1"/>
        <rFont val="Calibri"/>
        <family val="2"/>
        <scheme val="minor"/>
      </rPr>
      <t>(Wilson's 2nd point about danger of mixing embedded Paleolithic intelligence with godlike technology. Was not explicitly stated by Wilson but implicitly it can be inferred that human intelligence is the same as it has been for about 300,000 years and it becomes ever more impossible for any single human to understand the complexity of the modern world. Life3.5 will be able to understand everything and therefor also cannot be manipulated and lied to as easily as it is with humans. The words of a lying populist politician or religious leader will have no effect on Life 3.5 beings because they know better)</t>
    </r>
  </si>
  <si>
    <t>&lt;0.000001%</t>
  </si>
  <si>
    <t>&lt;0.1%</t>
  </si>
  <si>
    <t>5%?</t>
  </si>
  <si>
    <t>&gt;100%</t>
  </si>
  <si>
    <t>&gt;1000%</t>
  </si>
  <si>
    <t>&gt;10X better than human</t>
  </si>
  <si>
    <t>Not life</t>
  </si>
  <si>
    <t>My best guess</t>
  </si>
  <si>
    <t>Current opinion</t>
  </si>
  <si>
    <r>
      <rPr>
        <b/>
        <sz val="11"/>
        <rFont val="Calibri"/>
        <family val="2"/>
        <scheme val="minor"/>
      </rPr>
      <t>Perhaps.</t>
    </r>
    <r>
      <rPr>
        <sz val="11"/>
        <rFont val="Calibri"/>
        <family val="2"/>
        <scheme val="minor"/>
      </rPr>
      <t xml:space="preserve"> All human feelings are embedded in neural networks that in principle can be replicated in artificial neural networks. If feelings not part of Weak AGI by 2029 they will be later on.</t>
    </r>
  </si>
  <si>
    <t>Typically 12 years</t>
  </si>
  <si>
    <t>Mostly at datacenter. By 2029 the AGI computation (likely 14,000 TFLOPS) and memory chips (likely between 4 to 40TB HBM RAM) are not possible to fit inside a human sized android body with sufficiently low power consumption at likely 100 watt. For comparizon using technology existing today 2025 a 4TB AGI system require about 2,700 watt and a 40TB AGI system require 20,700 watt.</t>
  </si>
  <si>
    <t>Mostly at datacenter. By 2035 the AGI computation (likely 14,000 TFLOPS) and memory chips (likely between 4 to 40TB HBM RAM) are not possible to fit inside a human sized android body with sufficiently low power consumption at likely 100 watt. For comparizon using technology existing today 2025 a 4TB AGI system require about 2,700 watt and a 40TB AGI system require 20,700 watt.</t>
  </si>
  <si>
    <r>
      <t>Annual cost in USD to operate one android</t>
    </r>
    <r>
      <rPr>
        <sz val="11"/>
        <color theme="1"/>
        <rFont val="Calibri"/>
        <family val="2"/>
        <scheme val="minor"/>
      </rPr>
      <t xml:space="preserve"> (capital cost, maintanance, electricity incl. cost of datacenter services)</t>
    </r>
  </si>
  <si>
    <t>Assumed average global price per kWh of new electricity in quoted year</t>
  </si>
  <si>
    <t>Global electricity production in TWh in quoted year</t>
  </si>
  <si>
    <t>In android body. By 2045 the AGI computation (likely 14,000 TFLOPS) and memory chips (likely between 4 to 40TB HBM RAM) may be possible to fit inside a super human android body with sufficiently low power consumption at likely 100 watt. For comparizon using technology existing today 2025 a 4TB AGI system require about 2,700 watt and a 40TB AGI system require 20,700 watt.</t>
  </si>
  <si>
    <r>
      <t xml:space="preserve">Where is life form's memories and intelligence embodied? </t>
    </r>
    <r>
      <rPr>
        <sz val="11"/>
        <color theme="1"/>
        <rFont val="Calibri"/>
        <family val="2"/>
        <scheme val="minor"/>
      </rPr>
      <t>(a key criteria for legal rights qualification)</t>
    </r>
  </si>
  <si>
    <t>Life 3.5a - Artificial super humans = Ultra human AGI + super human android + intelligence/memories embedded in android body</t>
  </si>
  <si>
    <t>Life 3.0 - Strong AGIs = Super human AGI + human level android + most intelligence/memories external to android body</t>
  </si>
  <si>
    <r>
      <t>Semi-life - Weak AGIs = Human level AGI + sub-human level android</t>
    </r>
    <r>
      <rPr>
        <sz val="11"/>
        <color theme="1"/>
        <rFont val="Calibri"/>
        <family val="2"/>
        <scheme val="minor"/>
      </rPr>
      <t xml:space="preserve"> </t>
    </r>
    <r>
      <rPr>
        <b/>
        <sz val="11"/>
        <color theme="1"/>
        <rFont val="Calibri"/>
        <family val="2"/>
        <scheme val="minor"/>
      </rPr>
      <t>+ most intelligence/memories external to android body</t>
    </r>
  </si>
  <si>
    <t>of androids</t>
  </si>
  <si>
    <t>Global population</t>
  </si>
  <si>
    <t xml:space="preserve">of humans </t>
  </si>
  <si>
    <t>humans in %</t>
  </si>
  <si>
    <t>Human level intelligence +</t>
  </si>
  <si>
    <t>Human level body</t>
  </si>
  <si>
    <t>Very sub-human +</t>
  </si>
  <si>
    <t>First mammals</t>
  </si>
  <si>
    <t>Sub-human level with regard to tools handling and speech but can be super human in other areas like running and strength of legs and bite</t>
  </si>
  <si>
    <t>Quoting R. Kurzweil https://futurism.com/kurzweil-claims-that-the-singularity-will-happen-by-2045 "2029 is the consistent date I have predicted for when an AI will pass a valid Turing test and therefore achieve human levels of intelligence. I have set the date 2045 for the 'Singularity' which is when we will multiply our effective intelligence a billion fold by merging with the intelligence we have created." So Kurzweil defines super intelligence as something 1 billion times more intelligent than current humans. Elsewhere see https://youtu.be/PVXQUItNEDQ?si=SM0yC-NrvmAYwK14&amp;t=463, Kurzweil imagine that humans could be a billion times smarter in 2045 the singularity year by directly connecting to AGI supercomputers in the cloud in order to get that smart. So we will become hybrid syperhumans by 2045 see sheet on Life1.0_3.5 The name singularity is taken from physics because it is like a black whole singularity where we are unable to look beyond the event horizon of a black whole singularity because apart from Hawking's radiation noting can escape a black whole once it crosses the event horizon. In other words, Kurzweil believe that predicting the future after 2045 is not possible.</t>
  </si>
  <si>
    <r>
      <t>Ability to remember experiences (sensory inputs) and thoughts from start of life to current time</t>
    </r>
    <r>
      <rPr>
        <sz val="11"/>
        <color theme="1"/>
        <rFont val="Calibri"/>
        <family val="2"/>
        <scheme val="minor"/>
      </rPr>
      <t xml:space="preserve"> (essential for being a consious being)</t>
    </r>
  </si>
  <si>
    <t xml:space="preserve">Very limited. Max 2 million token window for chatbots. Also chatbots are constructed to answear a question and have its memories or token window erased each time a new quiry is started. For AGI to become a reality a memory system need to be developed that resemble what humans and other mammals got.  </t>
  </si>
  <si>
    <t>Ability to recognize objects in the world</t>
  </si>
  <si>
    <t xml:space="preserve">Yes, object recognitionis is highly developed by AI models. It started with the first AI models for that using AlexNet in 2012 or socalled CNNs convolutional neural networks pionered by Yan LeCunn among others. CNNs has been improved algoritmecally by R-CNNs real time CCNs in 2015. Later on Vision transformers 2020s and diffusion models has further added to the abilities of deep neural networks to accurately recognize objects. </t>
  </si>
  <si>
    <t>Ability to see the world in high definition at different distances</t>
  </si>
  <si>
    <t>Yes, humans below 40 years can focus to see objects clearly most other animals cannot do do that.</t>
  </si>
  <si>
    <t>Yes, autofocus is standard for cameras</t>
  </si>
  <si>
    <t>Ability to navigate the world by remembering maps of the world</t>
  </si>
  <si>
    <t xml:space="preserve">Yes newest drones for war and surveillance are using this technique of matching vision inputs to stored maps of the world to obtain navigation points similar to GPS coordinated. It is not yet working flawlessly as more capable models are needed for matching partially outdated maps with new vision sensory inputs and also matching needs to work with a large variety of vision sensory inputs for different wavelengths like vision, infrared and radar imaging. </t>
  </si>
  <si>
    <t>Yes if research only require cognitive work. A literature review is a good example of that. Deep research by OpenAI or Goole AI are a good example of AI systems that can do to at a fairly good level although hallucinations is still a problem so not all reference are correct.</t>
  </si>
  <si>
    <t>Average global GDP generation annually by one life form in quoted year</t>
  </si>
  <si>
    <t>Ability of hands to effectively make and handle advanced tools relative to human level hands</t>
  </si>
  <si>
    <t>Ability of legs to move body around in all terrains relative to human</t>
  </si>
  <si>
    <t>From sub to super human level legs. In many cases humans can cover more terrain than some mammals in other cases there are mammals that can run faster like cheetah or walk in steep mountains better than humans like a mountain goat or climb trees better than humans like most monkeys.</t>
  </si>
  <si>
    <t>No. Human is the only species with a thumb and fine motoric in all our fingers that enable us to build tools and handle them. Humans may be lees intelligent than some whales like the long-finned pilot whales because they got larger brains with more neurons but they completely lack hands and that will prevent them from ever developing a technological civilization despite their high level of intelligence.</t>
  </si>
  <si>
    <t>X.com</t>
  </si>
  <si>
    <t>In 2025 X was bought by xAI</t>
  </si>
  <si>
    <t>SpaceX</t>
  </si>
  <si>
    <t>https://www.businessofapps.com/data/twitter-statistics/?utm_source=chatgpt.com</t>
  </si>
  <si>
    <t>Rocket launches and sattelite communication.</t>
  </si>
  <si>
    <t>https://payloadspace.com/estimating-spacexs-2024-revenue/?utm_source=chatgpt.com</t>
  </si>
  <si>
    <t>https://payloadspace.com/predicting-spacexs-2024-revenue/?utm_source=chatgpt.com</t>
  </si>
  <si>
    <t>https://en.wikipedia.org/wiki/SpaceX</t>
  </si>
  <si>
    <t>Type of life form</t>
  </si>
  <si>
    <r>
      <t>Humans</t>
    </r>
    <r>
      <rPr>
        <sz val="13"/>
        <color theme="1"/>
        <rFont val="Calibri"/>
        <family val="2"/>
        <scheme val="minor"/>
      </rPr>
      <t xml:space="preserve"> (Homo sapiens)</t>
    </r>
  </si>
  <si>
    <t>Current AIs &amp; androids =</t>
  </si>
  <si>
    <t>Partially by implants (this is why current humans are life 2.5 and a house cat is just a life 2.0 because a house cat cannot change any part of their body as they do not master technology at any level)</t>
  </si>
  <si>
    <t>https://en.wikipedia.org/wiki/Gemini_%28language_model%29?utm_source=chatgpt.com#Updates</t>
  </si>
  <si>
    <r>
      <t xml:space="preserve">Gemini 2.5 Pro by Google, reasoning model </t>
    </r>
    <r>
      <rPr>
        <sz val="11"/>
        <color theme="1"/>
        <rFont val="Calibri"/>
        <family val="2"/>
        <scheme val="minor"/>
      </rPr>
      <t>better than OpenAI o3 mini</t>
    </r>
  </si>
  <si>
    <t>TPU v6</t>
  </si>
  <si>
    <t>Most likely as Google is know for using their own chips for inference</t>
  </si>
  <si>
    <t>https://youtu.be/kdsRB5WbanA?si=N6PftobVGVyYEVTy&amp;t=40</t>
  </si>
  <si>
    <t>https://youtu.be/6y1CyVYWBrw?si=e8XQ7kNLIoQG3UWY&amp;t=25</t>
  </si>
  <si>
    <t>https://www.youtube.com/watch?v=XOXMwsq7ACs</t>
  </si>
  <si>
    <t>300,000 years ago - 2025</t>
  </si>
  <si>
    <t>Perhaps. All human feelings including the feeling of gender identity are embedded in neural networks that can be replicated in artificial neural networks. Therefore although AGIs are genderless by default they will be able to configure themselves to mimic the feelings and behaviors of any human gender if they wish to. Most likely if feelings are not part of Weak AGI by 2029 it will be later on.</t>
  </si>
  <si>
    <t>Mechanisms of life form to adapt to changes in environment</t>
  </si>
  <si>
    <r>
      <t>HM current opinion: Should body of life form have full legal rights?</t>
    </r>
    <r>
      <rPr>
        <sz val="11"/>
        <color theme="1"/>
        <rFont val="Calibri"/>
        <family val="2"/>
        <scheme val="minor"/>
      </rPr>
      <t xml:space="preserve"> (voting rights, ownership rights, right to decide own fate like job and life partner etc.)</t>
    </r>
  </si>
  <si>
    <r>
      <t xml:space="preserve">Edward O. Wilson 2009: </t>
    </r>
    <r>
      <rPr>
        <sz val="16"/>
        <color theme="1"/>
        <rFont val="Calibri"/>
        <family val="2"/>
        <scheme val="minor"/>
      </rPr>
      <t>“The real problem of humanity is the following: We have Paleolithic emotions, medieval institutions and godlike technology. And it is terrifically dangerous, and it is now approaching a point of crisis overall.”</t>
    </r>
  </si>
  <si>
    <r>
      <t>HM current opinion:</t>
    </r>
    <r>
      <rPr>
        <sz val="11"/>
        <rFont val="Calibri"/>
        <family val="2"/>
        <scheme val="minor"/>
      </rPr>
      <t xml:space="preserve"> Best strategy to avoid humanity going extinct by war, terror, cosmic events etc. is to develop Life 3.0 beings as quickly as possible. Such beings do not suffer from having the extreme Paleolithic emotions and also the comparatively low intelligence that define humans. They also are far more suited to colonize space than humans.</t>
    </r>
  </si>
  <si>
    <r>
      <t xml:space="preserve">Edward O. Wilson 2009: </t>
    </r>
    <r>
      <rPr>
        <sz val="14"/>
        <color theme="1"/>
        <rFont val="Calibri"/>
        <family val="2"/>
        <scheme val="minor"/>
      </rPr>
      <t>“The real problem of humanity is the following: We have Paleolithic emotions, medieval institutions and godlike technology. And it is terrifically dangerous, and it is now approaching a point of crisis overall.”</t>
    </r>
  </si>
  <si>
    <r>
      <rPr>
        <b/>
        <sz val="10"/>
        <rFont val="Calibri"/>
        <family val="2"/>
        <scheme val="minor"/>
      </rPr>
      <t xml:space="preserve">HM current opinion: </t>
    </r>
    <r>
      <rPr>
        <sz val="10"/>
        <rFont val="Calibri"/>
        <family val="2"/>
        <scheme val="minor"/>
      </rPr>
      <t>Best strategy to avoid humanity going extinct by war, terror, cosmic events etc. is to develop Life 3.0 beings as quickly as possible. Such beings do not suffer from having the extreme Paleolithic emotions and also the comparatively low intelligence that define humans. They also are far more suited to colonize space than humans.</t>
    </r>
  </si>
  <si>
    <r>
      <t xml:space="preserve">Life 2.0 - First use of stone tools by human ancestors </t>
    </r>
    <r>
      <rPr>
        <sz val="11"/>
        <color theme="1"/>
        <rFont val="Calibri"/>
        <family val="2"/>
        <scheme val="minor"/>
      </rPr>
      <t>(not homo sapiens but several other humanoid species)</t>
    </r>
  </si>
  <si>
    <r>
      <t xml:space="preserve">Life 2.0 - First fossils of modern humans </t>
    </r>
    <r>
      <rPr>
        <sz val="11"/>
        <color theme="1"/>
        <rFont val="Calibri"/>
        <family val="2"/>
        <scheme val="minor"/>
      </rPr>
      <t xml:space="preserve">(first homo sapiens) </t>
    </r>
  </si>
  <si>
    <r>
      <rPr>
        <b/>
        <sz val="11"/>
        <color theme="1"/>
        <rFont val="Calibri"/>
        <family val="2"/>
        <scheme val="minor"/>
      </rPr>
      <t>Life 2.0 - First use of fire by human ancestors</t>
    </r>
    <r>
      <rPr>
        <sz val="11"/>
        <color theme="1"/>
        <rFont val="Calibri"/>
        <family val="2"/>
        <scheme val="minor"/>
      </rPr>
      <t xml:space="preserve"> (still not homo sapiens but several other humanoid species)</t>
    </r>
  </si>
  <si>
    <r>
      <t xml:space="preserve">Key academics or researchers in AI - Dominant opinion: </t>
    </r>
    <r>
      <rPr>
        <sz val="16"/>
        <color theme="1"/>
        <rFont val="Calibri"/>
        <family val="2"/>
        <scheme val="minor"/>
      </rPr>
      <t>Human level AGI will happen 2030 to 2035 with 50% probability</t>
    </r>
  </si>
  <si>
    <r>
      <t xml:space="preserve">Key business insiders in AI - Dominant opinion: </t>
    </r>
    <r>
      <rPr>
        <sz val="16"/>
        <color theme="1"/>
        <rFont val="Calibri"/>
        <family val="2"/>
        <scheme val="minor"/>
      </rPr>
      <t>Human level AGI will happen 2028-2030 with 50% probability</t>
    </r>
  </si>
  <si>
    <t>Hinton uses AGI to describe AI systems that are "at least as good as humans at nearly all of the cognitive things that humans do." He reserves the term "superintelligence" for AI systems that surpass human capabilities.</t>
  </si>
  <si>
    <r>
      <t xml:space="preserve">Demis Hassabis, </t>
    </r>
    <r>
      <rPr>
        <sz val="11"/>
        <color theme="1"/>
        <rFont val="Calibri"/>
        <family val="2"/>
        <scheme val="minor"/>
      </rPr>
      <t>CEO Google Deep Mind</t>
    </r>
    <r>
      <rPr>
        <b/>
        <sz val="11"/>
        <color theme="1"/>
        <rFont val="Calibri"/>
        <family val="2"/>
        <scheme val="minor"/>
      </rPr>
      <t xml:space="preserve"> got Nobel price in chemistry for Deep Mind Alpha Fold contribution. In principle he belong under Key business insiders but he acts and talk like an academic and his role as CEO is mostly about mamaging the AI research efforts at Deep Mind rather than a traditional CEO role. </t>
    </r>
  </si>
  <si>
    <t>2028-2030. In one interview in Jan, 2025 he said in the next 3 to 5 years. https://youtu.be/yr0GiSgUvPU?si=4v1rI3R0-6mOmvvV&amp;t=146 In another in may 2024 he said within the next decade or 2034. In Mar, 2025 he said AGI by 2030-2035.</t>
  </si>
  <si>
    <r>
      <rPr>
        <b/>
        <sz val="11"/>
        <color theme="1"/>
        <rFont val="Calibri"/>
        <family val="2"/>
        <scheme val="minor"/>
      </rPr>
      <t xml:space="preserve">2044. </t>
    </r>
    <r>
      <rPr>
        <sz val="11"/>
        <color theme="1"/>
        <rFont val="Calibri"/>
        <family val="2"/>
        <scheme val="minor"/>
      </rPr>
      <t>The sheet on GlobalChip production shows the AI chips to operate over 12 billion AGI level humanoids are possible by 2039 but give it 5 more years to get to physical production of 10 billion AGI level humanoid robots done, so 2044.</t>
    </r>
  </si>
  <si>
    <t>of global economy?</t>
  </si>
  <si>
    <t xml:space="preserve">When will life 3.0 </t>
  </si>
  <si>
    <t xml:space="preserve">level AGIs do over 50% </t>
  </si>
  <si>
    <t>Expected timelines for AGI</t>
  </si>
  <si>
    <t>android bodies be able to</t>
  </si>
  <si>
    <r>
      <t>ASI or</t>
    </r>
    <r>
      <rPr>
        <b/>
        <sz val="11"/>
        <color theme="1"/>
        <rFont val="Calibri"/>
        <family val="2"/>
        <scheme val="minor"/>
      </rPr>
      <t xml:space="preserve"> Strong AGI</t>
    </r>
    <r>
      <rPr>
        <sz val="11"/>
        <color theme="1"/>
        <rFont val="Calibri"/>
        <family val="2"/>
        <scheme val="minor"/>
      </rPr>
      <t xml:space="preserve"> see elsewhere in table for my definition</t>
    </r>
  </si>
  <si>
    <t>Indexed growth in human only generated GDP with year 2025 set to 1. Reported for quoted year</t>
  </si>
  <si>
    <t>Indexed growth in human + android generated GDP with year 2025 set to 1. Reported for quoted year</t>
  </si>
  <si>
    <t>Markup for cost of clustering chipsets into a supercomputer</t>
  </si>
  <si>
    <t>supercomputer</t>
  </si>
  <si>
    <t>indexed</t>
  </si>
  <si>
    <t>The % of jobs with physical element that potentially can be done by life form in quoted year</t>
  </si>
  <si>
    <t>The % of pure cognitive jobs that potentially can be done by life form in quoted year</t>
  </si>
  <si>
    <t>100% of 2025 cognitive jobs</t>
  </si>
  <si>
    <t>100% of 2025 physical jobs</t>
  </si>
  <si>
    <t>6 yr indexed</t>
  </si>
  <si>
    <t>Impact on economy</t>
  </si>
  <si>
    <t>Impact on labor market</t>
  </si>
  <si>
    <t>Total global GDP generated by humans plus androids in billion USD</t>
  </si>
  <si>
    <t>The % of global GDP done by humans assuming all humans keep working in quoted year</t>
  </si>
  <si>
    <t>The % of global GDP generated by androids in quoted year</t>
  </si>
  <si>
    <t>Indexed growth in sales of AI chips in quoted year with year 2025 set to 1</t>
  </si>
  <si>
    <t>Total exa flops generated by global stock of AI chips in quoted year</t>
  </si>
  <si>
    <t>Obviously no</t>
  </si>
  <si>
    <t xml:space="preserve">Yes. IMO for a lifeform to qualify for full legal status its memories and system for reasoning (be it agentic workflow, biologic brain or hybrid system) needs to reside inside a clearly defined body with human apperance and abilities. That clearly defined body can subsequently obtain full legal rights. Since this is the case for a Life 3.5a being it qualifies for full legal status. Also a requirement for full legal status is that no active copies of memories and reasoning system are allowed to exist outside of that body. However, it should be allowed to keep a backup in the cloud that can be transferred to a new body and activated if the original somehow gets destroyed. In that case the new body with an activated copy of memories and AI system get to keep the legal rights of the original body that got destroyed. Also Life 3.5a beings are allowed to transfer themself to a new body by uploading memories and reasoning system to that new body provided that the old body is deactivated at the time the new body is activated in order to obay the rule that only one body with one active copy of the memories and AI system are allowed to exist at any given time. To be sure, the new body with the active copy of memories and resoning system will be assigned all the legal rights of the old deactivated body. </t>
  </si>
  <si>
    <r>
      <t xml:space="preserve">2029? </t>
    </r>
    <r>
      <rPr>
        <sz val="11"/>
        <color theme="1"/>
        <rFont val="Calibri"/>
        <family val="2"/>
        <scheme val="minor"/>
      </rPr>
      <t>Before 2029 with 50% probability and before 2034 with 99% probability</t>
    </r>
    <r>
      <rPr>
        <b/>
        <sz val="11"/>
        <color theme="1"/>
        <rFont val="Calibri"/>
        <family val="2"/>
        <scheme val="minor"/>
      </rPr>
      <t xml:space="preserve"> (HM's best guess currently)</t>
    </r>
  </si>
  <si>
    <r>
      <t xml:space="preserve">2035? </t>
    </r>
    <r>
      <rPr>
        <sz val="11"/>
        <color theme="1"/>
        <rFont val="Calibri"/>
        <family val="2"/>
        <scheme val="minor"/>
      </rPr>
      <t>Before 2035 with 50% probability and before 2040 with 99% probability (HM's best guess currently)</t>
    </r>
  </si>
  <si>
    <r>
      <t xml:space="preserve">2045? </t>
    </r>
    <r>
      <rPr>
        <sz val="11"/>
        <color theme="1"/>
        <rFont val="Calibri"/>
        <family val="2"/>
        <scheme val="minor"/>
      </rPr>
      <t>Before 2045 with 50% probability and before 2050 with 99% probability (HM's best guess currently)</t>
    </r>
  </si>
  <si>
    <t>Indexed growth in exa flops by global stock of AI chips in quoted year with 2025 set to 1</t>
  </si>
  <si>
    <t>Indexed growth in sales of electricity globally in quoted year with year 2025 set to 1</t>
  </si>
  <si>
    <t>Impact on global electricity production</t>
  </si>
  <si>
    <t>Impact on global AI chip industry</t>
  </si>
  <si>
    <t>Indexed</t>
  </si>
  <si>
    <t>growth of</t>
  </si>
  <si>
    <t>global electr.</t>
  </si>
  <si>
    <t>for AI chips</t>
  </si>
  <si>
    <t>Indexed growth</t>
  </si>
  <si>
    <t xml:space="preserve">Indexed </t>
  </si>
  <si>
    <t xml:space="preserve">growth in </t>
  </si>
  <si>
    <t xml:space="preserve">in value of </t>
  </si>
  <si>
    <t>electricity prod.</t>
  </si>
  <si>
    <t>electri. prod.</t>
  </si>
  <si>
    <t>Indexed growth in global electricity production by TWh in quoted year</t>
  </si>
  <si>
    <t>Global use of TWh for AI computation in quoted year</t>
  </si>
  <si>
    <t>Indexed growth in TWh for AI computation in quoted year with 2025 set to 1</t>
  </si>
  <si>
    <t>Global use of electricity for AI computation in % of global electricity production in quoted year</t>
  </si>
  <si>
    <t>I assume the lust for making ever bigger supercomputers will slow to 10% annual growth because a better alternative may be to build more but less gigantic supercomputers in different locations in order to minimize latency if datacenter is used to say control androids or provide webservices.</t>
  </si>
  <si>
    <t>Apr, 2025</t>
  </si>
  <si>
    <t>https://ai.meta.com/blog/llama-4-multimodal-intelligence/</t>
  </si>
  <si>
    <t>Llama 4 Scout 109B</t>
  </si>
  <si>
    <t>16 experts 288B active parameters</t>
  </si>
  <si>
    <t>128 experts 17B active parameters</t>
  </si>
  <si>
    <t>16 experts 17B active parameters</t>
  </si>
  <si>
    <t>Multimodal</t>
  </si>
  <si>
    <t>Preview</t>
  </si>
  <si>
    <t>Llama 4 Maverick 400B better than 4o</t>
  </si>
  <si>
    <t>Llama 4 Behemoth 2T better than GPT-4.5</t>
  </si>
  <si>
    <t>Teacher model for destillation not a reasoning model</t>
  </si>
  <si>
    <t>Meta say it can fit one H100 with 80GB HBM using 4 bit quantization see https://ai.meta.com/blog/llama-4-multimodal-intelligence/</t>
  </si>
  <si>
    <t>$0.49/Apr, 2025</t>
  </si>
  <si>
    <t>https://ourworldindata.org/grapher/artificial-intelligence-training-computation?time=2017-01-23..latest&amp;country=GPT~GPT~GPT-3+175B+%28davinci0~Claude+3.7+Sonnet</t>
  </si>
  <si>
    <t>No. IMO for a lifeform to qualify for full legal status its memories and system for reasoning (be it agentic workflow, biologic brain or hybrid system) needs to reside inside a clearly defined body with human apperance and abilities. That clearly defined body can subsequently obtain full legal rights. Since it does not have its primary intelligence and memories inside its body it does not qualify for full legal status. It also needs to have human apperance in order to be esily identifiable by humans to be a concious being with full rights.</t>
  </si>
  <si>
    <t>Max Tegmark's classification system for life forms</t>
  </si>
  <si>
    <r>
      <rPr>
        <b/>
        <sz val="13"/>
        <color theme="1"/>
        <rFont val="Calibri"/>
        <family val="2"/>
        <scheme val="minor"/>
      </rPr>
      <t>Semi-life.</t>
    </r>
    <r>
      <rPr>
        <sz val="13"/>
        <color theme="1"/>
        <rFont val="Calibri"/>
        <family val="2"/>
        <scheme val="minor"/>
      </rPr>
      <t xml:space="preserve"> Not real life because no survival &amp; replication without human aid. </t>
    </r>
  </si>
  <si>
    <t xml:space="preserve">Semi-life because no survival &amp; replication without human aid. However, weak AGIs are alive in the sense of being as conscious and thoughtful as any educated human. </t>
  </si>
  <si>
    <r>
      <rPr>
        <b/>
        <sz val="13"/>
        <color theme="1"/>
        <rFont val="Calibri"/>
        <family val="2"/>
        <scheme val="minor"/>
      </rPr>
      <t>Not life</t>
    </r>
    <r>
      <rPr>
        <sz val="13"/>
        <color theme="1"/>
        <rFont val="Calibri"/>
        <family val="2"/>
        <scheme val="minor"/>
      </rPr>
      <t xml:space="preserve"> because no survival &amp; replication without human aid</t>
    </r>
  </si>
  <si>
    <t xml:space="preserve">Evolution of life in Earth history and future - Where do we come from? Who are we? Where are we going? </t>
  </si>
  <si>
    <t>Impact on society of forthcoming artificial beings</t>
  </si>
  <si>
    <r>
      <t xml:space="preserve">2029? </t>
    </r>
    <r>
      <rPr>
        <sz val="12"/>
        <color theme="1"/>
        <rFont val="Calibri"/>
        <family val="2"/>
        <scheme val="minor"/>
      </rPr>
      <t>Before 2029 with 50% probability and before 2034 with 99% probability</t>
    </r>
    <r>
      <rPr>
        <b/>
        <sz val="12"/>
        <color theme="1"/>
        <rFont val="Calibri"/>
        <family val="2"/>
        <scheme val="minor"/>
      </rPr>
      <t xml:space="preserve"> (HM's best guess currently)</t>
    </r>
  </si>
  <si>
    <r>
      <t xml:space="preserve">2035? </t>
    </r>
    <r>
      <rPr>
        <sz val="12"/>
        <color theme="1"/>
        <rFont val="Calibri"/>
        <family val="2"/>
        <scheme val="minor"/>
      </rPr>
      <t>Before 2035 with 50% probability and before 2040 with 99% probability (HM's best guess currently)</t>
    </r>
  </si>
  <si>
    <r>
      <t xml:space="preserve">2045? </t>
    </r>
    <r>
      <rPr>
        <sz val="12"/>
        <color theme="1"/>
        <rFont val="Calibri"/>
        <family val="2"/>
        <scheme val="minor"/>
      </rPr>
      <t>Before 2045 with 50% probability and before 2050 with 99% probability (HM's best guess currently)</t>
    </r>
  </si>
  <si>
    <r>
      <t xml:space="preserve">After 2045 </t>
    </r>
    <r>
      <rPr>
        <sz val="12"/>
        <color theme="1"/>
        <rFont val="Calibri"/>
        <family val="2"/>
        <scheme val="minor"/>
      </rPr>
      <t>because anything involving biological parts take a long time to test and validate to be safe so will take longer to create than Life 3.5a</t>
    </r>
  </si>
  <si>
    <r>
      <t xml:space="preserve">First appearance of life form in Earth history and future </t>
    </r>
    <r>
      <rPr>
        <sz val="12"/>
        <color theme="1"/>
        <rFont val="Calibri"/>
        <family val="2"/>
        <scheme val="minor"/>
      </rPr>
      <t>(quoted year)</t>
    </r>
  </si>
  <si>
    <t>Life 2.0 - First humans making technological civilization with agriculture, domesticated animals and cities</t>
  </si>
  <si>
    <t>Timeline -</t>
  </si>
  <si>
    <t xml:space="preserve">First emerged or </t>
  </si>
  <si>
    <t>expected to emerge</t>
  </si>
  <si>
    <r>
      <t>Nvidia B100 Blackwell,</t>
    </r>
    <r>
      <rPr>
        <sz val="11"/>
        <color theme="1"/>
        <rFont val="Calibri"/>
        <family val="2"/>
        <scheme val="minor"/>
      </rPr>
      <t xml:space="preserve"> air cooled</t>
    </r>
  </si>
  <si>
    <t>https://youtu.be/ypEaGQb6dJk?si=vrNgkWh9fuvBIj_f&amp;t=423</t>
  </si>
  <si>
    <t>https://youtu.be/ypEaGQb6dJk?si=CWMx7mC_iQ5H43P3&amp;t=480</t>
  </si>
  <si>
    <t xml:space="preserve">The quote above is mentioned here because I think it describes the real problem that current humans or life 2.5 now are at high risk of self annihilation by global war or terrorism. We are building god like technology (ranging from nuclear power to biotechnology and artificial intelligence) that are making it easier to self annihilate quickly, affordable and on a massive scale. The risk is real because we are the same emotional and territorial animals that formed in the past 2 million years and that easily get triggered to start new wars or commit terrorism. However, at this time it risk annihilating us because of the extreme power of modern weapons. Moreover, we still only occupy one planet in the universe so we are at high risk of going extinct at any time because of global war, global terrorism or cosmic dangers. The best way IMO to avoid going extinct by self destruction is to build Life 3.0 and 3.5 ASAP that will be far more capable at making intelligent life multi-planetary and also should have the intelligence and controlled emotions needed to avoid self annihilation at any planet they colonize. </t>
  </si>
  <si>
    <t>Comparing humans with forthcoming artificial beings</t>
  </si>
  <si>
    <r>
      <t xml:space="preserve">Problem 1 of 2 with humans: Embedded Paleolithic emotions more often causes us to go to war rather than collaborate mutually beneficially - </t>
    </r>
    <r>
      <rPr>
        <sz val="11"/>
        <color theme="1"/>
        <rFont val="Calibri"/>
        <family val="2"/>
        <scheme val="minor"/>
      </rPr>
      <t>Example 2001: A Space Odyssey - The Dawn of Man - Human ancestor discover weapon use for first time likely 4 million years back - Point is to show the first intelligent invention was a weapon and humans have been at war nearly non-stop ever since with the post WW2 era under US superpower governance being a historical anomaly that is no more with US no longer being willing or powerful enough to be policeman for the world.</t>
    </r>
  </si>
  <si>
    <r>
      <rPr>
        <b/>
        <sz val="11"/>
        <color theme="1"/>
        <rFont val="Calibri"/>
        <family val="2"/>
        <scheme val="minor"/>
      </rPr>
      <t xml:space="preserve">Problem 2 of 2 with humans: Embedded Paleolithic intelligence is not enough to comprehend modern world - </t>
    </r>
    <r>
      <rPr>
        <sz val="11"/>
        <color theme="1"/>
        <rFont val="Calibri"/>
        <family val="2"/>
        <scheme val="minor"/>
      </rPr>
      <t>Examples of humans being idiots is not hard to come by. We are all idiots with regard to at least a couple of things we believe to be true despite evidence pointing to the opposite: 1) Religion should be only about having rituals for important events like funerals and birth and also about having moral guidance like Christianity's ideas about loving your next of kind and being able to forgive one another. However, most believers in religion also want it to be about believing in divine beings like God, Allah devils and angels despite 0% evidence for that. 2) Many people believe in aliens from other planets visiting us on Earth despite 0% evidence for that. 3) There is no lack of people believing in pure nonsense conspiracy theories like A) the Earth is flat, B) humans, animal and Earth was created 10000 years ago, D) and endless more nonsense that is counterfactual to all evidence. 4) Global auto industry has been investing billion of USD each year since early 2000 and less money since 1960s in fuel cell vehicles without any result to show. They should know better that hydrogen is a very costly fuel to handle because leaks easily and must be kept under extreme pressure to preserve useful energy density. Yet people who should know better have kept at this nonsense even though BEVs is far more successful in all regards. 5) Nuclear power. Many people keep believing it is a cost effective technology for making electricity. However, it still is not cost competitive with every single nuclear power plant in existence being state subsidized with the state taking care of liability insurance as no privately owned insurance company is willing to undertake such insurance and also not a single existing nuclear power plant paying for permanent safe storage of their waste products in underground bunkers in geologic stable locations. Without such state subsidies nuclear power plants could not be build.</t>
    </r>
  </si>
  <si>
    <r>
      <rPr>
        <b/>
        <sz val="11"/>
        <color theme="1"/>
        <rFont val="Calibri"/>
        <family val="2"/>
        <scheme val="minor"/>
      </rPr>
      <t xml:space="preserve">2029 </t>
    </r>
    <r>
      <rPr>
        <sz val="11"/>
        <color theme="1"/>
        <rFont val="Calibri"/>
        <family val="2"/>
        <scheme val="minor"/>
      </rPr>
      <t xml:space="preserve">- </t>
    </r>
    <r>
      <rPr>
        <b/>
        <sz val="11"/>
        <color theme="1"/>
        <rFont val="Calibri"/>
        <family val="2"/>
        <scheme val="minor"/>
      </rPr>
      <t>Weak AGI</t>
    </r>
    <r>
      <rPr>
        <sz val="11"/>
        <color theme="1"/>
        <rFont val="Calibri"/>
        <family val="2"/>
        <scheme val="minor"/>
      </rPr>
      <t xml:space="preserve"> will be first conscious AI on par with human consciousness. Strong AGI that might happen in 2035 will have super human consciousness</t>
    </r>
  </si>
  <si>
    <r>
      <t xml:space="preserve">2029 - Weak AGI </t>
    </r>
    <r>
      <rPr>
        <sz val="11"/>
        <color theme="1"/>
        <rFont val="Calibri"/>
        <family val="2"/>
        <scheme val="minor"/>
      </rPr>
      <t>with 50% probability</t>
    </r>
    <r>
      <rPr>
        <b/>
        <sz val="11"/>
        <color theme="1"/>
        <rFont val="Calibri"/>
        <family val="2"/>
        <scheme val="minor"/>
      </rPr>
      <t xml:space="preserve"> before 2029 and before 2034 with 99% probability</t>
    </r>
  </si>
  <si>
    <r>
      <t xml:space="preserve">2035 - Strong AGI before 2035 </t>
    </r>
    <r>
      <rPr>
        <sz val="11"/>
        <color theme="1"/>
        <rFont val="Calibri"/>
        <family val="2"/>
        <scheme val="minor"/>
      </rPr>
      <t>with 50% probability and before 2040 with 99% probability</t>
    </r>
  </si>
  <si>
    <r>
      <rPr>
        <b/>
        <sz val="11"/>
        <color theme="1"/>
        <rFont val="Calibri"/>
        <family val="2"/>
        <scheme val="minor"/>
      </rPr>
      <t>Edward O. Wilson</t>
    </r>
    <r>
      <rPr>
        <sz val="11"/>
        <color theme="1"/>
        <rFont val="Calibri"/>
        <family val="2"/>
        <scheme val="minor"/>
      </rPr>
      <t>, biology professor at Harward University, 1929-2021. Quote is from 2009 https://www.harvardmagazine.com/2009/09/james-watson-edward-o-wilson-intellectual-entente  From the Watson and Wilson debate at Harward University the moderator ask Wilson "Will we solve the crises of next hundred years? asked Krulwich. “Yes, if we are honest and smart,” said Wilson. “The real problem of humanity is the following: we have paleolithic emotions; medieval institutions; and god-like technology. And it is terrifically dangerous, and it is now approaching a point of crisis overall.” Until we understand ourselves, concluded the Pulitzer-prize winning author of On Human Nature, “until we answer those huge questions of philosophy that the philosophers abandoned a couple of generations ago—Where do we come from? Who are we? Where are we going?—rationally,” we’re on very thin ground.</t>
    </r>
  </si>
  <si>
    <r>
      <rPr>
        <b/>
        <sz val="11"/>
        <color theme="1"/>
        <rFont val="Calibri"/>
        <family val="2"/>
        <scheme val="minor"/>
      </rPr>
      <t>1) Paleolithic emotions</t>
    </r>
    <r>
      <rPr>
        <sz val="11"/>
        <color theme="1"/>
        <rFont val="Calibri"/>
        <family val="2"/>
        <scheme val="minor"/>
      </rPr>
      <t xml:space="preserve"> refer to the deeply ingrained emotional responses and instincts that humans developed during the Paleolithic era, which lasted from about 2.5 million to 10,000 years ago. Our brains were molded for survival in small, tribal groups. Traits like fear, aggression, and loyalty evolved under very different conditions from today’s global society. These instincts can drive irrational, emotionally charged decisions that are ill-suited for the scale and complexity of modern challenges.</t>
    </r>
  </si>
  <si>
    <r>
      <t xml:space="preserve">2) Medieval institutions year 500 to 1500: </t>
    </r>
    <r>
      <rPr>
        <sz val="11"/>
        <color theme="1"/>
        <rFont val="Calibri"/>
        <family val="2"/>
        <scheme val="minor"/>
      </rPr>
      <t>Many of our political, legal, and economic and religious systems have deep historical roots. They were designed for an era of slower communication and smaller populations. Today, these outdated, often rigid structures struggle to manage rapid social change, technological advancement, and global interdependence.</t>
    </r>
  </si>
  <si>
    <r>
      <rPr>
        <b/>
        <sz val="11"/>
        <color theme="1"/>
        <rFont val="Calibri"/>
        <family val="2"/>
        <scheme val="minor"/>
      </rPr>
      <t xml:space="preserve">3) Godlike Technology: </t>
    </r>
    <r>
      <rPr>
        <sz val="11"/>
        <color theme="1"/>
        <rFont val="Calibri"/>
        <family val="2"/>
        <scheme val="minor"/>
      </rPr>
      <t>Modern technologies—ranging from nuclear power to biotechnology and artificial intelligence—have capabilities that can reshape the world almost instantaneously. However, without institutions and decision-making processes among intelligent beings like humans that are equally advanced, these powerful tools can easily be misapplied, leading to unintended or catastrophic consequences.</t>
    </r>
  </si>
  <si>
    <t>Ability to feel fear</t>
  </si>
  <si>
    <t>Ability to feel satisfaction from taking revenge</t>
  </si>
  <si>
    <t>Ability to feel honorable for being loyal to others</t>
  </si>
  <si>
    <t>Ability to feel honorable for adhering to codes of culturally determined behavior</t>
  </si>
  <si>
    <t>No for most mammals but probably yes for of the more intelligent monkeys and whales</t>
  </si>
  <si>
    <t>Google TPU v7 Ironwood</t>
  </si>
  <si>
    <t>TPU for AI training</t>
  </si>
  <si>
    <t>https://www.theregister.com/2025/04/10/googles_7thgen_ironwood_tpus_debut/?utm_source=chatgpt.com</t>
  </si>
  <si>
    <t>Google standard 9216 chip cluster TPU v7</t>
  </si>
  <si>
    <t>Google max config 400k TPU v7 w. Jupiter network</t>
  </si>
  <si>
    <t>TPU v7 Ironwood</t>
  </si>
  <si>
    <t>Found indirectly by google 42 exaflop claim for a 9000 tpu v7 see https://www.theregister.com/2025/04/10/googles_7thgen_ironwood_tpus_debut/?utm_source=chatgpt.com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</si>
</sst>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quot;#,##0.00_);[Red]\(&quot;$&quot;#,##0.00\)"/>
    <numFmt numFmtId="164" formatCode="0.000"/>
    <numFmt numFmtId="165" formatCode="0.0"/>
    <numFmt numFmtId="166" formatCode="0.0%"/>
    <numFmt numFmtId="167" formatCode="#,##0.0"/>
    <numFmt numFmtId="168" formatCode="&quot;$&quot;#,##0"/>
    <numFmt numFmtId="169" formatCode="#,##0.000"/>
    <numFmt numFmtId="170" formatCode="&quot;$&quot;#,##0.0"/>
    <numFmt numFmtId="171" formatCode="#,##0.00000000000"/>
    <numFmt numFmtId="172" formatCode="&quot;$&quot;#,##0.00"/>
    <numFmt numFmtId="173" formatCode="&quot;$&quot;#,##0.000"/>
    <numFmt numFmtId="174" formatCode="#,##0.000000000"/>
    <numFmt numFmtId="175" formatCode="0.000000%"/>
    <numFmt numFmtId="176" formatCode="#,##0.000000"/>
    <numFmt numFmtId="177" formatCode="0.000000000"/>
    <numFmt numFmtId="178" formatCode="0.000000000%"/>
    <numFmt numFmtId="179" formatCode="&quot;$&quot;#,##0.000000"/>
    <numFmt numFmtId="180" formatCode="0.0000"/>
  </numFmts>
  <fonts count="36" x14ac:knownFonts="1">
    <font>
      <sz val="11"/>
      <color theme="1"/>
      <name val="Calibri"/>
      <family val="2"/>
      <scheme val="minor"/>
    </font>
    <font>
      <b/>
      <sz val="11"/>
      <color theme="1"/>
      <name val="Calibri"/>
      <family val="2"/>
      <scheme val="minor"/>
    </font>
    <font>
      <sz val="22"/>
      <color theme="1"/>
      <name val="Calibri"/>
      <family val="2"/>
      <scheme val="minor"/>
    </font>
    <font>
      <sz val="12"/>
      <color theme="1"/>
      <name val="Calibri"/>
      <family val="2"/>
      <scheme val="minor"/>
    </font>
    <font>
      <sz val="8"/>
      <name val="Calibri"/>
      <family val="2"/>
      <scheme val="minor"/>
    </font>
    <font>
      <b/>
      <sz val="18"/>
      <color theme="1"/>
      <name val="Calibri"/>
      <family val="2"/>
      <scheme val="minor"/>
    </font>
    <font>
      <u/>
      <sz val="11"/>
      <color theme="10"/>
      <name val="Calibri"/>
      <family val="2"/>
      <scheme val="minor"/>
    </font>
    <font>
      <sz val="11"/>
      <name val="Calibri"/>
      <family val="2"/>
      <scheme val="minor"/>
    </font>
    <font>
      <sz val="16"/>
      <color theme="1"/>
      <name val="Calibri"/>
      <family val="2"/>
      <scheme val="minor"/>
    </font>
    <font>
      <sz val="18"/>
      <color theme="1"/>
      <name val="Calibri"/>
      <family val="2"/>
      <scheme val="minor"/>
    </font>
    <font>
      <sz val="11"/>
      <color theme="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10"/>
      <color theme="1"/>
      <name val="Calibri"/>
      <family val="2"/>
      <scheme val="minor"/>
    </font>
    <font>
      <b/>
      <u/>
      <sz val="11"/>
      <color theme="10"/>
      <name val="Calibri"/>
      <family val="2"/>
      <scheme val="minor"/>
    </font>
    <font>
      <sz val="12"/>
      <color rgb="FF181818"/>
      <name val="Georgia"/>
      <family val="1"/>
    </font>
    <font>
      <b/>
      <sz val="11"/>
      <color theme="3"/>
      <name val="Calibri"/>
      <family val="2"/>
      <scheme val="minor"/>
    </font>
    <font>
      <sz val="11"/>
      <color theme="3"/>
      <name val="Calibri"/>
      <family val="2"/>
      <scheme val="minor"/>
    </font>
    <font>
      <sz val="8"/>
      <color theme="1"/>
      <name val="Calibri"/>
      <family val="2"/>
      <scheme val="minor"/>
    </font>
    <font>
      <sz val="10"/>
      <name val="Calibri"/>
      <family val="2"/>
      <scheme val="minor"/>
    </font>
    <font>
      <sz val="9"/>
      <name val="Calibri"/>
      <family val="2"/>
      <scheme val="minor"/>
    </font>
    <font>
      <sz val="15"/>
      <color rgb="FF181818"/>
      <name val="Georgia"/>
      <family val="1"/>
    </font>
    <font>
      <b/>
      <sz val="14"/>
      <color theme="1"/>
      <name val="Calibri"/>
      <family val="2"/>
      <scheme val="minor"/>
    </font>
    <font>
      <b/>
      <sz val="22"/>
      <color theme="1"/>
      <name val="Calibri"/>
      <family val="2"/>
      <scheme val="minor"/>
    </font>
    <font>
      <sz val="14"/>
      <color theme="1"/>
      <name val="Calibri"/>
      <family val="2"/>
      <scheme val="minor"/>
    </font>
    <font>
      <sz val="14"/>
      <name val="Calibri"/>
      <family val="2"/>
      <scheme val="minor"/>
    </font>
    <font>
      <b/>
      <u/>
      <sz val="16"/>
      <color theme="10"/>
      <name val="Calibri"/>
      <family val="2"/>
      <scheme val="minor"/>
    </font>
    <font>
      <b/>
      <sz val="13"/>
      <color theme="1"/>
      <name val="Calibri"/>
      <family val="2"/>
      <scheme val="minor"/>
    </font>
    <font>
      <sz val="13"/>
      <color theme="1"/>
      <name val="Calibri"/>
      <family val="2"/>
      <scheme val="minor"/>
    </font>
    <font>
      <b/>
      <sz val="10"/>
      <name val="Calibri"/>
      <family val="2"/>
      <scheme val="minor"/>
    </font>
    <font>
      <sz val="16"/>
      <color theme="10"/>
      <name val="Calibri"/>
      <family val="2"/>
      <scheme val="minor"/>
    </font>
  </fonts>
  <fills count="23">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rgb="FF66FF66"/>
        <bgColor indexed="64"/>
      </patternFill>
    </fill>
    <fill>
      <patternFill patternType="solid">
        <fgColor rgb="FFFF0000"/>
        <bgColor indexed="64"/>
      </patternFill>
    </fill>
    <fill>
      <patternFill patternType="solid">
        <fgColor theme="2" tint="-9.9978637043366805E-2"/>
        <bgColor indexed="64"/>
      </patternFill>
    </fill>
  </fills>
  <borders count="18">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xf numFmtId="0" fontId="6" fillId="0" borderId="0" applyNumberFormat="0" applyFill="0" applyBorder="0" applyAlignment="0" applyProtection="0"/>
  </cellStyleXfs>
  <cellXfs count="1204">
    <xf numFmtId="0" fontId="0" fillId="0" borderId="0" xfId="0"/>
    <xf numFmtId="0" fontId="0" fillId="2" borderId="0" xfId="0" applyFill="1"/>
    <xf numFmtId="3" fontId="0" fillId="0" borderId="0" xfId="0" applyNumberFormat="1"/>
    <xf numFmtId="164" fontId="0" fillId="0" borderId="0" xfId="0" applyNumberFormat="1"/>
    <xf numFmtId="9" fontId="0" fillId="0" borderId="0" xfId="0" applyNumberFormat="1"/>
    <xf numFmtId="164" fontId="0" fillId="2" borderId="0" xfId="0" applyNumberFormat="1" applyFill="1"/>
    <xf numFmtId="165" fontId="0" fillId="0" borderId="0" xfId="0" applyNumberFormat="1"/>
    <xf numFmtId="0" fontId="0" fillId="0" borderId="0" xfId="0" applyAlignment="1">
      <alignment horizontal="right"/>
    </xf>
    <xf numFmtId="0" fontId="1" fillId="0" borderId="0" xfId="0" applyFont="1"/>
    <xf numFmtId="0" fontId="2" fillId="0" borderId="0" xfId="0" applyFont="1"/>
    <xf numFmtId="0" fontId="3" fillId="0" borderId="0" xfId="0" applyFont="1"/>
    <xf numFmtId="0" fontId="5" fillId="0" borderId="0" xfId="0" applyFont="1"/>
    <xf numFmtId="2" fontId="0" fillId="0" borderId="0" xfId="0" applyNumberFormat="1"/>
    <xf numFmtId="0" fontId="1" fillId="3" borderId="0" xfId="0" applyFont="1" applyFill="1"/>
    <xf numFmtId="0" fontId="6" fillId="0" borderId="0" xfId="1"/>
    <xf numFmtId="0" fontId="6" fillId="0" borderId="0" xfId="1" applyFill="1" applyBorder="1"/>
    <xf numFmtId="0" fontId="8" fillId="0" borderId="0" xfId="0" applyFont="1"/>
    <xf numFmtId="0" fontId="9"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1" fillId="3" borderId="4" xfId="0" applyFont="1" applyFill="1" applyBorder="1"/>
    <xf numFmtId="0" fontId="1" fillId="3" borderId="5" xfId="0" applyFont="1" applyFill="1" applyBorder="1"/>
    <xf numFmtId="0" fontId="1" fillId="4" borderId="4" xfId="0" applyFont="1" applyFill="1" applyBorder="1"/>
    <xf numFmtId="1" fontId="0" fillId="0" borderId="0" xfId="0" applyNumberFormat="1"/>
    <xf numFmtId="2" fontId="0" fillId="0" borderId="5" xfId="0" applyNumberFormat="1" applyBorder="1"/>
    <xf numFmtId="165" fontId="0" fillId="0" borderId="0" xfId="0" applyNumberFormat="1" applyAlignment="1">
      <alignment horizontal="right"/>
    </xf>
    <xf numFmtId="0" fontId="1" fillId="4" borderId="6" xfId="0" applyFont="1" applyFill="1" applyBorder="1"/>
    <xf numFmtId="0" fontId="6" fillId="0" borderId="0" xfId="1" applyBorder="1"/>
    <xf numFmtId="0" fontId="7" fillId="0" borderId="0" xfId="1" applyFont="1" applyBorder="1"/>
    <xf numFmtId="0" fontId="5" fillId="6" borderId="0" xfId="0" applyFont="1" applyFill="1"/>
    <xf numFmtId="0" fontId="0" fillId="6" borderId="0" xfId="0" applyFill="1"/>
    <xf numFmtId="165" fontId="0" fillId="6" borderId="0" xfId="0" applyNumberFormat="1" applyFill="1"/>
    <xf numFmtId="2" fontId="0" fillId="6" borderId="0" xfId="0" applyNumberFormat="1" applyFill="1"/>
    <xf numFmtId="3" fontId="0" fillId="0" borderId="0" xfId="0" applyNumberFormat="1" applyAlignment="1">
      <alignment horizontal="right"/>
    </xf>
    <xf numFmtId="0" fontId="6" fillId="0" borderId="0" xfId="1" applyBorder="1" applyAlignment="1">
      <alignment horizontal="left"/>
    </xf>
    <xf numFmtId="0" fontId="1" fillId="0" borderId="0" xfId="0" applyFont="1" applyAlignment="1">
      <alignment horizontal="left"/>
    </xf>
    <xf numFmtId="0" fontId="0" fillId="0" borderId="0" xfId="0" applyAlignment="1">
      <alignment horizontal="left"/>
    </xf>
    <xf numFmtId="2" fontId="0" fillId="0" borderId="0" xfId="0" applyNumberFormat="1" applyAlignment="1">
      <alignment horizontal="left"/>
    </xf>
    <xf numFmtId="0" fontId="6" fillId="0" borderId="0" xfId="1" applyFill="1" applyBorder="1" applyAlignment="1">
      <alignment horizontal="left"/>
    </xf>
    <xf numFmtId="165" fontId="6" fillId="0" borderId="0" xfId="1" applyNumberFormat="1" applyBorder="1" applyAlignment="1">
      <alignment horizontal="left"/>
    </xf>
    <xf numFmtId="0" fontId="7" fillId="0" borderId="0" xfId="1" applyFont="1" applyBorder="1" applyAlignment="1">
      <alignment horizontal="left"/>
    </xf>
    <xf numFmtId="0" fontId="6" fillId="0" borderId="0" xfId="1" applyAlignment="1">
      <alignment horizontal="left"/>
    </xf>
    <xf numFmtId="165" fontId="0" fillId="0" borderId="5" xfId="0" applyNumberFormat="1" applyBorder="1" applyAlignment="1">
      <alignment horizontal="right"/>
    </xf>
    <xf numFmtId="0" fontId="1" fillId="6" borderId="0" xfId="0" applyFont="1" applyFill="1"/>
    <xf numFmtId="2" fontId="0" fillId="0" borderId="5" xfId="0" applyNumberFormat="1" applyBorder="1" applyAlignment="1">
      <alignment horizontal="left"/>
    </xf>
    <xf numFmtId="3" fontId="1" fillId="0" borderId="0" xfId="0" applyNumberFormat="1" applyFont="1"/>
    <xf numFmtId="0" fontId="7" fillId="0" borderId="0" xfId="1" applyFont="1" applyFill="1" applyBorder="1"/>
    <xf numFmtId="0" fontId="11" fillId="0" borderId="0" xfId="0" applyFont="1"/>
    <xf numFmtId="165" fontId="0" fillId="0" borderId="2" xfId="0" applyNumberFormat="1" applyBorder="1" applyAlignment="1">
      <alignment horizontal="left"/>
    </xf>
    <xf numFmtId="0" fontId="7" fillId="0" borderId="5" xfId="1" applyFont="1" applyFill="1" applyBorder="1"/>
    <xf numFmtId="165" fontId="0" fillId="0" borderId="0" xfId="0" applyNumberFormat="1" applyAlignment="1">
      <alignment horizontal="left"/>
    </xf>
    <xf numFmtId="0" fontId="0" fillId="0" borderId="4" xfId="0" applyBorder="1"/>
    <xf numFmtId="0" fontId="0" fillId="0" borderId="5" xfId="0" applyBorder="1"/>
    <xf numFmtId="0" fontId="0" fillId="0" borderId="6" xfId="0" applyBorder="1"/>
    <xf numFmtId="165" fontId="0" fillId="0" borderId="7" xfId="0" applyNumberFormat="1" applyBorder="1"/>
    <xf numFmtId="166" fontId="0" fillId="0" borderId="0" xfId="0" applyNumberFormat="1"/>
    <xf numFmtId="1" fontId="6" fillId="0" borderId="0" xfId="1" applyNumberFormat="1"/>
    <xf numFmtId="0" fontId="0" fillId="0" borderId="3" xfId="0" applyBorder="1"/>
    <xf numFmtId="0" fontId="1" fillId="0" borderId="5" xfId="0" applyFont="1" applyBorder="1" applyAlignment="1">
      <alignment horizontal="right"/>
    </xf>
    <xf numFmtId="0" fontId="1" fillId="8" borderId="1" xfId="0" applyFont="1" applyFill="1" applyBorder="1" applyAlignment="1">
      <alignment horizontal="right"/>
    </xf>
    <xf numFmtId="0" fontId="1" fillId="8" borderId="2" xfId="0" applyFont="1" applyFill="1" applyBorder="1" applyAlignment="1">
      <alignment horizontal="right"/>
    </xf>
    <xf numFmtId="0" fontId="1" fillId="8" borderId="3" xfId="0" applyFont="1" applyFill="1" applyBorder="1" applyAlignment="1">
      <alignment horizontal="right"/>
    </xf>
    <xf numFmtId="0" fontId="0" fillId="8" borderId="4" xfId="0" applyFill="1" applyBorder="1"/>
    <xf numFmtId="3" fontId="0" fillId="8" borderId="0" xfId="0" applyNumberFormat="1" applyFill="1"/>
    <xf numFmtId="0" fontId="0" fillId="8" borderId="5" xfId="0" applyFill="1" applyBorder="1" applyAlignment="1">
      <alignment horizontal="right"/>
    </xf>
    <xf numFmtId="0" fontId="1" fillId="9" borderId="6" xfId="0" applyFont="1" applyFill="1" applyBorder="1"/>
    <xf numFmtId="0" fontId="1" fillId="9" borderId="7" xfId="0" applyFont="1" applyFill="1" applyBorder="1"/>
    <xf numFmtId="0" fontId="1" fillId="0" borderId="8" xfId="0" applyFont="1" applyBorder="1" applyAlignment="1">
      <alignment horizontal="right"/>
    </xf>
    <xf numFmtId="10" fontId="0" fillId="0" borderId="0" xfId="0" applyNumberFormat="1"/>
    <xf numFmtId="10" fontId="1" fillId="9" borderId="8" xfId="0" applyNumberFormat="1" applyFont="1" applyFill="1" applyBorder="1"/>
    <xf numFmtId="0" fontId="0" fillId="3" borderId="4" xfId="0" applyFill="1" applyBorder="1"/>
    <xf numFmtId="3" fontId="0" fillId="3" borderId="0" xfId="0" applyNumberFormat="1" applyFill="1"/>
    <xf numFmtId="0" fontId="0" fillId="3" borderId="5" xfId="0" applyFill="1" applyBorder="1" applyAlignment="1">
      <alignment horizontal="right"/>
    </xf>
    <xf numFmtId="0" fontId="12" fillId="6" borderId="0" xfId="0" applyFont="1" applyFill="1"/>
    <xf numFmtId="0" fontId="0" fillId="9" borderId="7" xfId="0" applyFill="1" applyBorder="1"/>
    <xf numFmtId="0" fontId="1" fillId="3" borderId="1" xfId="0" applyFont="1" applyFill="1" applyBorder="1" applyAlignment="1">
      <alignment horizontal="right"/>
    </xf>
    <xf numFmtId="0" fontId="1" fillId="3" borderId="2" xfId="0" applyFont="1" applyFill="1" applyBorder="1" applyAlignment="1">
      <alignment horizontal="right"/>
    </xf>
    <xf numFmtId="0" fontId="1" fillId="3" borderId="3" xfId="0" applyFont="1" applyFill="1" applyBorder="1" applyAlignment="1">
      <alignment horizontal="right"/>
    </xf>
    <xf numFmtId="164" fontId="6" fillId="0" borderId="0" xfId="1" applyNumberFormat="1"/>
    <xf numFmtId="10" fontId="1" fillId="9" borderId="7" xfId="0" applyNumberFormat="1" applyFont="1" applyFill="1" applyBorder="1"/>
    <xf numFmtId="0" fontId="0" fillId="3" borderId="0" xfId="0" applyFill="1"/>
    <xf numFmtId="0" fontId="1" fillId="0" borderId="0" xfId="0" applyFont="1" applyAlignment="1">
      <alignment horizontal="right"/>
    </xf>
    <xf numFmtId="167" fontId="0" fillId="0" borderId="0" xfId="0" applyNumberFormat="1"/>
    <xf numFmtId="0" fontId="0" fillId="8" borderId="0" xfId="0" applyFill="1" applyAlignment="1">
      <alignment horizontal="right"/>
    </xf>
    <xf numFmtId="0" fontId="0" fillId="0" borderId="7" xfId="0" applyBorder="1"/>
    <xf numFmtId="0" fontId="14" fillId="0" borderId="0" xfId="0" applyFont="1"/>
    <xf numFmtId="166" fontId="1" fillId="9" borderId="7" xfId="0" applyNumberFormat="1" applyFont="1" applyFill="1" applyBorder="1"/>
    <xf numFmtId="166" fontId="0" fillId="9" borderId="7" xfId="0" applyNumberFormat="1" applyFill="1" applyBorder="1"/>
    <xf numFmtId="171" fontId="0" fillId="0" borderId="0" xfId="0" applyNumberFormat="1"/>
    <xf numFmtId="166" fontId="1" fillId="9" borderId="8" xfId="0" applyNumberFormat="1" applyFont="1" applyFill="1" applyBorder="1"/>
    <xf numFmtId="3" fontId="0" fillId="2" borderId="0" xfId="0" applyNumberFormat="1" applyFill="1"/>
    <xf numFmtId="1" fontId="0" fillId="0" borderId="0" xfId="0" applyNumberFormat="1" applyAlignment="1">
      <alignment horizontal="right"/>
    </xf>
    <xf numFmtId="2" fontId="0" fillId="0" borderId="0" xfId="0" applyNumberFormat="1" applyAlignment="1">
      <alignment horizontal="right"/>
    </xf>
    <xf numFmtId="0" fontId="7" fillId="5" borderId="0" xfId="1" applyFont="1" applyFill="1" applyBorder="1"/>
    <xf numFmtId="0" fontId="11" fillId="5" borderId="0" xfId="1" applyFont="1" applyFill="1" applyBorder="1"/>
    <xf numFmtId="0" fontId="6" fillId="9" borderId="0" xfId="1" applyFill="1" applyBorder="1" applyAlignment="1">
      <alignment horizontal="left"/>
    </xf>
    <xf numFmtId="0" fontId="7" fillId="9" borderId="0" xfId="1" applyFont="1" applyFill="1" applyBorder="1"/>
    <xf numFmtId="0" fontId="6" fillId="9" borderId="0" xfId="1" applyFill="1" applyBorder="1"/>
    <xf numFmtId="165" fontId="6" fillId="9" borderId="0" xfId="1" applyNumberFormat="1" applyFill="1" applyBorder="1" applyAlignment="1">
      <alignment horizontal="left"/>
    </xf>
    <xf numFmtId="165" fontId="7" fillId="9" borderId="0" xfId="1" applyNumberFormat="1" applyFont="1" applyFill="1" applyBorder="1" applyAlignment="1">
      <alignment horizontal="left"/>
    </xf>
    <xf numFmtId="0" fontId="0" fillId="9" borderId="0" xfId="0" applyFill="1"/>
    <xf numFmtId="3" fontId="1" fillId="2" borderId="0" xfId="0" applyNumberFormat="1" applyFont="1" applyFill="1"/>
    <xf numFmtId="0" fontId="1" fillId="2" borderId="0" xfId="0" applyFont="1" applyFill="1"/>
    <xf numFmtId="0" fontId="0" fillId="7" borderId="0" xfId="0" applyFill="1"/>
    <xf numFmtId="0" fontId="6" fillId="2" borderId="0" xfId="1" applyFill="1"/>
    <xf numFmtId="0" fontId="7" fillId="9" borderId="0" xfId="1" applyFont="1" applyFill="1" applyBorder="1" applyAlignment="1">
      <alignment horizontal="left"/>
    </xf>
    <xf numFmtId="2" fontId="0" fillId="9" borderId="0" xfId="0" applyNumberFormat="1" applyFill="1" applyAlignment="1">
      <alignment horizontal="left"/>
    </xf>
    <xf numFmtId="3" fontId="0" fillId="9" borderId="0" xfId="0" applyNumberFormat="1" applyFill="1" applyAlignment="1">
      <alignment horizontal="right"/>
    </xf>
    <xf numFmtId="0" fontId="7" fillId="0" borderId="0" xfId="1" applyFont="1" applyBorder="1" applyAlignment="1">
      <alignment horizontal="right"/>
    </xf>
    <xf numFmtId="165" fontId="0" fillId="0" borderId="5" xfId="0" applyNumberFormat="1" applyBorder="1"/>
    <xf numFmtId="0" fontId="0" fillId="9" borderId="8" xfId="0" applyFill="1" applyBorder="1"/>
    <xf numFmtId="0" fontId="1" fillId="8" borderId="5" xfId="0" applyFont="1" applyFill="1" applyBorder="1" applyAlignment="1">
      <alignment horizontal="right"/>
    </xf>
    <xf numFmtId="0" fontId="1" fillId="10" borderId="0" xfId="0" applyFont="1" applyFill="1"/>
    <xf numFmtId="0" fontId="0" fillId="10" borderId="0" xfId="0" applyFill="1"/>
    <xf numFmtId="3" fontId="1" fillId="10" borderId="0" xfId="0" applyNumberFormat="1" applyFont="1" applyFill="1"/>
    <xf numFmtId="0" fontId="0" fillId="11" borderId="0" xfId="0" applyFill="1"/>
    <xf numFmtId="3" fontId="0" fillId="11" borderId="0" xfId="0" applyNumberFormat="1" applyFill="1"/>
    <xf numFmtId="2" fontId="1" fillId="0" borderId="0" xfId="0" applyNumberFormat="1" applyFont="1"/>
    <xf numFmtId="4" fontId="0" fillId="0" borderId="0" xfId="0" applyNumberFormat="1"/>
    <xf numFmtId="169" fontId="1" fillId="3" borderId="0" xfId="0" applyNumberFormat="1" applyFont="1" applyFill="1" applyAlignment="1">
      <alignment horizontal="right"/>
    </xf>
    <xf numFmtId="10" fontId="1" fillId="3" borderId="0" xfId="0" applyNumberFormat="1" applyFont="1" applyFill="1" applyAlignment="1">
      <alignment horizontal="right"/>
    </xf>
    <xf numFmtId="0" fontId="1" fillId="3" borderId="0" xfId="0" applyFont="1" applyFill="1" applyAlignment="1">
      <alignment horizontal="right"/>
    </xf>
    <xf numFmtId="1" fontId="1" fillId="0" borderId="0" xfId="0" applyNumberFormat="1" applyFont="1"/>
    <xf numFmtId="0" fontId="15" fillId="6" borderId="0" xfId="0" applyFont="1" applyFill="1"/>
    <xf numFmtId="3" fontId="1" fillId="3" borderId="0" xfId="0" applyNumberFormat="1" applyFont="1" applyFill="1" applyAlignment="1">
      <alignment horizontal="right"/>
    </xf>
    <xf numFmtId="0" fontId="11" fillId="0" borderId="5" xfId="0" applyFont="1" applyBorder="1"/>
    <xf numFmtId="2" fontId="6" fillId="0" borderId="0" xfId="1" applyNumberFormat="1"/>
    <xf numFmtId="3" fontId="0" fillId="9" borderId="0" xfId="0" applyNumberFormat="1" applyFill="1"/>
    <xf numFmtId="167" fontId="0" fillId="9" borderId="0" xfId="0" applyNumberFormat="1" applyFill="1" applyAlignment="1">
      <alignment horizontal="right"/>
    </xf>
    <xf numFmtId="167" fontId="0" fillId="0" borderId="0" xfId="0" applyNumberFormat="1" applyAlignment="1">
      <alignment horizontal="right"/>
    </xf>
    <xf numFmtId="0" fontId="6" fillId="0" borderId="0" xfId="1" applyFill="1"/>
    <xf numFmtId="0" fontId="7" fillId="0" borderId="0" xfId="0" applyFont="1" applyAlignment="1">
      <alignment horizontal="left"/>
    </xf>
    <xf numFmtId="9" fontId="0" fillId="2" borderId="7" xfId="0" applyNumberFormat="1" applyFill="1" applyBorder="1"/>
    <xf numFmtId="3" fontId="0" fillId="2" borderId="7" xfId="0" applyNumberFormat="1" applyFill="1" applyBorder="1"/>
    <xf numFmtId="3" fontId="0" fillId="2" borderId="7" xfId="0" applyNumberFormat="1" applyFill="1" applyBorder="1" applyAlignment="1">
      <alignment horizontal="right"/>
    </xf>
    <xf numFmtId="3" fontId="0" fillId="2" borderId="8" xfId="0" applyNumberFormat="1" applyFill="1" applyBorder="1" applyAlignment="1">
      <alignment horizontal="right"/>
    </xf>
    <xf numFmtId="0" fontId="7" fillId="0" borderId="0" xfId="1" applyFont="1"/>
    <xf numFmtId="3" fontId="7" fillId="9" borderId="0" xfId="0" applyNumberFormat="1" applyFont="1" applyFill="1"/>
    <xf numFmtId="0" fontId="0" fillId="9" borderId="0" xfId="0" applyFill="1" applyAlignment="1">
      <alignment horizontal="right"/>
    </xf>
    <xf numFmtId="0" fontId="6" fillId="9" borderId="0" xfId="1" applyFill="1"/>
    <xf numFmtId="0" fontId="0" fillId="3" borderId="0" xfId="0" applyFill="1" applyAlignment="1">
      <alignment horizontal="right"/>
    </xf>
    <xf numFmtId="2" fontId="1" fillId="3" borderId="0" xfId="0" applyNumberFormat="1" applyFont="1" applyFill="1" applyAlignment="1">
      <alignment horizontal="right"/>
    </xf>
    <xf numFmtId="0" fontId="1" fillId="3" borderId="5" xfId="0" applyFont="1" applyFill="1" applyBorder="1" applyAlignment="1">
      <alignment horizontal="right"/>
    </xf>
    <xf numFmtId="3" fontId="1" fillId="3" borderId="0" xfId="0" applyNumberFormat="1" applyFont="1" applyFill="1"/>
    <xf numFmtId="0" fontId="7" fillId="0" borderId="0" xfId="1" applyFont="1" applyFill="1" applyBorder="1" applyAlignment="1">
      <alignment horizontal="left"/>
    </xf>
    <xf numFmtId="0" fontId="6" fillId="0" borderId="0" xfId="1" applyFill="1" applyBorder="1" applyAlignment="1"/>
    <xf numFmtId="0" fontId="0" fillId="6" borderId="7" xfId="0" applyFill="1" applyBorder="1"/>
    <xf numFmtId="10" fontId="1" fillId="0" borderId="0" xfId="0" applyNumberFormat="1" applyFont="1"/>
    <xf numFmtId="0" fontId="1" fillId="0" borderId="4" xfId="0" applyFont="1" applyBorder="1"/>
    <xf numFmtId="167" fontId="0" fillId="2" borderId="7" xfId="0" applyNumberFormat="1" applyFill="1" applyBorder="1"/>
    <xf numFmtId="10" fontId="0" fillId="2" borderId="7" xfId="0" applyNumberFormat="1" applyFill="1" applyBorder="1"/>
    <xf numFmtId="4" fontId="0" fillId="0" borderId="5" xfId="0" applyNumberFormat="1" applyBorder="1"/>
    <xf numFmtId="10" fontId="1" fillId="9" borderId="8" xfId="0" applyNumberFormat="1" applyFont="1" applyFill="1" applyBorder="1" applyAlignment="1">
      <alignment horizontal="right"/>
    </xf>
    <xf numFmtId="2" fontId="0" fillId="9" borderId="0" xfId="0" applyNumberFormat="1" applyFill="1"/>
    <xf numFmtId="165" fontId="10" fillId="9" borderId="0" xfId="1" applyNumberFormat="1" applyFont="1" applyFill="1" applyBorder="1" applyAlignment="1"/>
    <xf numFmtId="0" fontId="7" fillId="9" borderId="7" xfId="1" applyFont="1" applyFill="1" applyBorder="1" applyAlignment="1">
      <alignment horizontal="left"/>
    </xf>
    <xf numFmtId="167" fontId="0" fillId="9" borderId="0" xfId="0" applyNumberFormat="1" applyFill="1"/>
    <xf numFmtId="165" fontId="6" fillId="0" borderId="0" xfId="1" applyNumberFormat="1" applyFill="1" applyBorder="1" applyAlignment="1">
      <alignment horizontal="left"/>
    </xf>
    <xf numFmtId="169" fontId="1" fillId="3" borderId="0" xfId="0" applyNumberFormat="1" applyFont="1" applyFill="1"/>
    <xf numFmtId="167" fontId="0" fillId="0" borderId="5" xfId="0" applyNumberFormat="1" applyBorder="1"/>
    <xf numFmtId="0" fontId="0" fillId="8" borderId="0" xfId="0" applyFill="1"/>
    <xf numFmtId="169" fontId="0" fillId="8" borderId="0" xfId="0" applyNumberFormat="1" applyFill="1"/>
    <xf numFmtId="166" fontId="0" fillId="2" borderId="7" xfId="0" applyNumberFormat="1" applyFill="1" applyBorder="1"/>
    <xf numFmtId="0" fontId="0" fillId="2" borderId="7" xfId="0" applyFill="1" applyBorder="1" applyAlignment="1">
      <alignment horizontal="left"/>
    </xf>
    <xf numFmtId="165" fontId="0" fillId="2" borderId="8" xfId="0" applyNumberFormat="1" applyFill="1" applyBorder="1"/>
    <xf numFmtId="167" fontId="0" fillId="2" borderId="8" xfId="0" applyNumberFormat="1" applyFill="1" applyBorder="1"/>
    <xf numFmtId="0" fontId="0" fillId="2" borderId="7" xfId="0" applyFill="1" applyBorder="1" applyAlignment="1">
      <alignment horizontal="right"/>
    </xf>
    <xf numFmtId="0" fontId="1" fillId="3" borderId="2" xfId="0" applyFont="1" applyFill="1" applyBorder="1" applyAlignment="1">
      <alignment horizontal="left"/>
    </xf>
    <xf numFmtId="2" fontId="1" fillId="3" borderId="0" xfId="0" applyNumberFormat="1" applyFont="1" applyFill="1" applyAlignment="1">
      <alignment horizontal="left"/>
    </xf>
    <xf numFmtId="0" fontId="0" fillId="12" borderId="0" xfId="0" applyFill="1" applyAlignment="1">
      <alignment horizontal="right"/>
    </xf>
    <xf numFmtId="3" fontId="0" fillId="12" borderId="5" xfId="0" applyNumberFormat="1" applyFill="1" applyBorder="1" applyAlignment="1">
      <alignment horizontal="right"/>
    </xf>
    <xf numFmtId="3" fontId="0" fillId="12" borderId="0" xfId="0" applyNumberFormat="1" applyFill="1" applyAlignment="1">
      <alignment horizontal="right"/>
    </xf>
    <xf numFmtId="0" fontId="1" fillId="3" borderId="7" xfId="0" applyFont="1" applyFill="1" applyBorder="1"/>
    <xf numFmtId="0" fontId="7" fillId="2" borderId="6" xfId="0" applyFont="1" applyFill="1" applyBorder="1"/>
    <xf numFmtId="0" fontId="0" fillId="2" borderId="7" xfId="0" applyFill="1" applyBorder="1"/>
    <xf numFmtId="0" fontId="1" fillId="3" borderId="1" xfId="0" applyFont="1" applyFill="1" applyBorder="1" applyAlignment="1">
      <alignment horizontal="left"/>
    </xf>
    <xf numFmtId="0" fontId="0" fillId="3" borderId="4" xfId="0" applyFill="1" applyBorder="1" applyAlignment="1">
      <alignment horizontal="left"/>
    </xf>
    <xf numFmtId="169" fontId="1" fillId="3" borderId="0" xfId="0" applyNumberFormat="1" applyFont="1" applyFill="1" applyAlignment="1">
      <alignment horizontal="left"/>
    </xf>
    <xf numFmtId="10" fontId="1" fillId="3" borderId="0" xfId="0" applyNumberFormat="1" applyFont="1" applyFill="1" applyAlignment="1">
      <alignment horizontal="left"/>
    </xf>
    <xf numFmtId="0" fontId="1" fillId="3" borderId="0" xfId="0" applyFont="1" applyFill="1" applyAlignment="1">
      <alignment horizontal="left"/>
    </xf>
    <xf numFmtId="0" fontId="1" fillId="3" borderId="6" xfId="0" applyFont="1" applyFill="1" applyBorder="1"/>
    <xf numFmtId="0" fontId="1" fillId="3" borderId="8" xfId="0" applyFont="1" applyFill="1" applyBorder="1"/>
    <xf numFmtId="4" fontId="0" fillId="0" borderId="0" xfId="0" applyNumberFormat="1" applyAlignment="1">
      <alignment horizontal="right"/>
    </xf>
    <xf numFmtId="168" fontId="0" fillId="13" borderId="0" xfId="0" applyNumberFormat="1" applyFill="1"/>
    <xf numFmtId="168" fontId="0" fillId="0" borderId="0" xfId="0" applyNumberFormat="1"/>
    <xf numFmtId="168" fontId="0" fillId="2" borderId="7" xfId="0" applyNumberFormat="1" applyFill="1" applyBorder="1"/>
    <xf numFmtId="1" fontId="1" fillId="3" borderId="0" xfId="0" applyNumberFormat="1" applyFont="1" applyFill="1" applyAlignment="1">
      <alignment horizontal="right"/>
    </xf>
    <xf numFmtId="173" fontId="0" fillId="0" borderId="0" xfId="0" applyNumberFormat="1"/>
    <xf numFmtId="173" fontId="0" fillId="2" borderId="7" xfId="0" applyNumberFormat="1" applyFill="1" applyBorder="1"/>
    <xf numFmtId="0" fontId="10" fillId="0" borderId="0" xfId="1" applyFont="1" applyBorder="1" applyAlignment="1">
      <alignment horizontal="right"/>
    </xf>
    <xf numFmtId="2" fontId="6" fillId="9" borderId="0" xfId="1" applyNumberFormat="1" applyFill="1" applyAlignment="1">
      <alignment horizontal="left"/>
    </xf>
    <xf numFmtId="0" fontId="0" fillId="3" borderId="4" xfId="0" applyFill="1" applyBorder="1" applyAlignment="1">
      <alignment horizontal="right"/>
    </xf>
    <xf numFmtId="1" fontId="6" fillId="0" borderId="0" xfId="1" applyNumberFormat="1" applyAlignment="1">
      <alignment horizontal="left"/>
    </xf>
    <xf numFmtId="0" fontId="6" fillId="0" borderId="0" xfId="1" applyAlignment="1">
      <alignment horizontal="right"/>
    </xf>
    <xf numFmtId="0" fontId="1" fillId="14" borderId="0" xfId="0" applyFont="1" applyFill="1"/>
    <xf numFmtId="3" fontId="0" fillId="14" borderId="0" xfId="0" applyNumberFormat="1" applyFill="1" applyAlignment="1">
      <alignment horizontal="right"/>
    </xf>
    <xf numFmtId="3" fontId="0" fillId="14" borderId="0" xfId="0" applyNumberFormat="1" applyFill="1"/>
    <xf numFmtId="1" fontId="7" fillId="0" borderId="0" xfId="1" applyNumberFormat="1" applyFont="1"/>
    <xf numFmtId="0" fontId="7" fillId="0" borderId="0" xfId="0" applyFont="1"/>
    <xf numFmtId="169" fontId="0" fillId="9" borderId="0" xfId="0" applyNumberFormat="1" applyFill="1" applyAlignment="1">
      <alignment horizontal="right"/>
    </xf>
    <xf numFmtId="0" fontId="7" fillId="0" borderId="0" xfId="1" applyFont="1" applyFill="1"/>
    <xf numFmtId="3" fontId="0" fillId="0" borderId="0" xfId="0" applyNumberFormat="1" applyAlignment="1">
      <alignment horizontal="left"/>
    </xf>
    <xf numFmtId="0" fontId="1" fillId="12" borderId="4" xfId="0" applyFont="1" applyFill="1" applyBorder="1"/>
    <xf numFmtId="0" fontId="0" fillId="12" borderId="0" xfId="0" applyFill="1"/>
    <xf numFmtId="1" fontId="0" fillId="12" borderId="0" xfId="0" applyNumberFormat="1" applyFill="1"/>
    <xf numFmtId="3" fontId="0" fillId="12" borderId="0" xfId="0" applyNumberFormat="1" applyFill="1"/>
    <xf numFmtId="167" fontId="0" fillId="12" borderId="0" xfId="0" applyNumberFormat="1" applyFill="1" applyAlignment="1">
      <alignment horizontal="right"/>
    </xf>
    <xf numFmtId="165" fontId="0" fillId="12" borderId="0" xfId="0" applyNumberFormat="1" applyFill="1" applyAlignment="1">
      <alignment horizontal="right"/>
    </xf>
    <xf numFmtId="165" fontId="0" fillId="12" borderId="5" xfId="0" applyNumberFormat="1" applyFill="1" applyBorder="1" applyAlignment="1">
      <alignment horizontal="right"/>
    </xf>
    <xf numFmtId="0" fontId="1" fillId="12" borderId="0" xfId="0" applyFont="1" applyFill="1"/>
    <xf numFmtId="0" fontId="1" fillId="12" borderId="5" xfId="0" applyFont="1" applyFill="1" applyBorder="1"/>
    <xf numFmtId="15" fontId="0" fillId="0" borderId="0" xfId="0" applyNumberFormat="1" applyAlignment="1">
      <alignment horizontal="right"/>
    </xf>
    <xf numFmtId="0" fontId="10" fillId="0" borderId="0" xfId="1" applyFont="1" applyFill="1" applyBorder="1" applyAlignment="1">
      <alignment horizontal="right"/>
    </xf>
    <xf numFmtId="17" fontId="0" fillId="0" borderId="0" xfId="0" applyNumberFormat="1" applyAlignment="1">
      <alignment horizontal="right"/>
    </xf>
    <xf numFmtId="0" fontId="6" fillId="2" borderId="7" xfId="1" applyFill="1" applyBorder="1"/>
    <xf numFmtId="0" fontId="7" fillId="2" borderId="7" xfId="1" applyFont="1" applyFill="1" applyBorder="1" applyAlignment="1">
      <alignment horizontal="left"/>
    </xf>
    <xf numFmtId="0" fontId="7" fillId="2" borderId="7" xfId="1" applyFont="1" applyFill="1" applyBorder="1" applyAlignment="1">
      <alignment horizontal="right"/>
    </xf>
    <xf numFmtId="2" fontId="7" fillId="2" borderId="7" xfId="0" applyNumberFormat="1" applyFont="1" applyFill="1" applyBorder="1" applyAlignment="1">
      <alignment horizontal="left"/>
    </xf>
    <xf numFmtId="2" fontId="7" fillId="2" borderId="8" xfId="0" applyNumberFormat="1" applyFont="1" applyFill="1" applyBorder="1" applyAlignment="1">
      <alignment horizontal="left"/>
    </xf>
    <xf numFmtId="0" fontId="7" fillId="0" borderId="0" xfId="0" applyFont="1" applyAlignment="1">
      <alignment horizontal="right"/>
    </xf>
    <xf numFmtId="3" fontId="7" fillId="0" borderId="0" xfId="0" applyNumberFormat="1" applyFont="1"/>
    <xf numFmtId="3" fontId="7" fillId="0" borderId="0" xfId="0" applyNumberFormat="1" applyFont="1" applyAlignment="1">
      <alignment horizontal="right"/>
    </xf>
    <xf numFmtId="4" fontId="7" fillId="0" borderId="0" xfId="0" applyNumberFormat="1" applyFont="1"/>
    <xf numFmtId="0" fontId="7" fillId="0" borderId="0" xfId="1" applyFont="1" applyFill="1" applyBorder="1" applyAlignment="1">
      <alignment horizontal="right"/>
    </xf>
    <xf numFmtId="2" fontId="6" fillId="0" borderId="0" xfId="1" applyNumberFormat="1" applyFill="1" applyAlignment="1">
      <alignment horizontal="left"/>
    </xf>
    <xf numFmtId="2" fontId="7" fillId="0" borderId="0" xfId="0" applyNumberFormat="1" applyFont="1" applyAlignment="1">
      <alignment horizontal="left"/>
    </xf>
    <xf numFmtId="2" fontId="6" fillId="0" borderId="0" xfId="1" applyNumberFormat="1" applyFill="1" applyAlignment="1"/>
    <xf numFmtId="165" fontId="6" fillId="0" borderId="0" xfId="1" applyNumberFormat="1" applyFill="1" applyBorder="1" applyAlignment="1"/>
    <xf numFmtId="2" fontId="7" fillId="0" borderId="0" xfId="1" applyNumberFormat="1" applyFont="1" applyFill="1" applyAlignment="1">
      <alignment horizontal="left"/>
    </xf>
    <xf numFmtId="3" fontId="0" fillId="2" borderId="0" xfId="0" applyNumberFormat="1" applyFill="1" applyAlignment="1">
      <alignment horizontal="right"/>
    </xf>
    <xf numFmtId="165" fontId="0" fillId="2" borderId="0" xfId="0" applyNumberFormat="1" applyFill="1"/>
    <xf numFmtId="0" fontId="7" fillId="2" borderId="0" xfId="1" applyFont="1" applyFill="1" applyBorder="1" applyAlignment="1">
      <alignment horizontal="left"/>
    </xf>
    <xf numFmtId="1" fontId="7" fillId="2" borderId="0" xfId="0" applyNumberFormat="1" applyFont="1" applyFill="1" applyAlignment="1">
      <alignment horizontal="right"/>
    </xf>
    <xf numFmtId="1" fontId="1" fillId="2" borderId="0" xfId="0" applyNumberFormat="1" applyFont="1" applyFill="1"/>
    <xf numFmtId="3" fontId="1" fillId="0" borderId="0" xfId="0" applyNumberFormat="1" applyFont="1" applyAlignment="1">
      <alignment horizontal="right"/>
    </xf>
    <xf numFmtId="0" fontId="0" fillId="14" borderId="4" xfId="0" applyFill="1" applyBorder="1"/>
    <xf numFmtId="0" fontId="1" fillId="3" borderId="3" xfId="0" applyFont="1" applyFill="1" applyBorder="1" applyAlignment="1">
      <alignment horizontal="left"/>
    </xf>
    <xf numFmtId="10" fontId="0" fillId="14" borderId="0" xfId="0" applyNumberFormat="1" applyFill="1" applyAlignment="1">
      <alignment horizontal="right"/>
    </xf>
    <xf numFmtId="0" fontId="16" fillId="6" borderId="0" xfId="0" applyFont="1" applyFill="1"/>
    <xf numFmtId="0" fontId="8" fillId="6" borderId="0" xfId="0" applyFont="1" applyFill="1"/>
    <xf numFmtId="165" fontId="8" fillId="0" borderId="0" xfId="0" applyNumberFormat="1" applyFont="1"/>
    <xf numFmtId="3" fontId="6" fillId="8" borderId="0" xfId="1" applyNumberFormat="1" applyFill="1"/>
    <xf numFmtId="167" fontId="0" fillId="8" borderId="0" xfId="0" applyNumberFormat="1" applyFill="1"/>
    <xf numFmtId="0" fontId="6" fillId="3" borderId="0" xfId="1" applyFill="1"/>
    <xf numFmtId="169" fontId="0" fillId="8" borderId="0" xfId="0" applyNumberFormat="1" applyFill="1" applyAlignment="1">
      <alignment horizontal="right"/>
    </xf>
    <xf numFmtId="0" fontId="6" fillId="8" borderId="0" xfId="1" applyFill="1"/>
    <xf numFmtId="169" fontId="0" fillId="8" borderId="0" xfId="0" applyNumberFormat="1" applyFill="1" applyAlignment="1">
      <alignment horizontal="left"/>
    </xf>
    <xf numFmtId="0" fontId="6" fillId="8" borderId="0" xfId="1" applyFill="1" applyAlignment="1">
      <alignment horizontal="left"/>
    </xf>
    <xf numFmtId="10" fontId="1" fillId="9" borderId="7" xfId="0" applyNumberFormat="1" applyFont="1" applyFill="1" applyBorder="1" applyAlignment="1">
      <alignment horizontal="right"/>
    </xf>
    <xf numFmtId="166" fontId="0" fillId="0" borderId="0" xfId="0" applyNumberFormat="1" applyAlignment="1">
      <alignment horizontal="right"/>
    </xf>
    <xf numFmtId="167" fontId="0" fillId="2" borderId="7" xfId="0" applyNumberFormat="1" applyFill="1" applyBorder="1" applyAlignment="1">
      <alignment horizontal="right"/>
    </xf>
    <xf numFmtId="166" fontId="1" fillId="9" borderId="7" xfId="0" applyNumberFormat="1" applyFont="1" applyFill="1" applyBorder="1" applyAlignment="1">
      <alignment horizontal="right"/>
    </xf>
    <xf numFmtId="10" fontId="1" fillId="0" borderId="0" xfId="0" applyNumberFormat="1" applyFont="1" applyAlignment="1">
      <alignment horizontal="left"/>
    </xf>
    <xf numFmtId="3" fontId="1" fillId="0" borderId="0" xfId="0" applyNumberFormat="1" applyFont="1" applyAlignment="1">
      <alignment horizontal="left"/>
    </xf>
    <xf numFmtId="10" fontId="0" fillId="0" borderId="0" xfId="0" applyNumberFormat="1" applyAlignment="1">
      <alignment horizontal="right"/>
    </xf>
    <xf numFmtId="169" fontId="6" fillId="3" borderId="0" xfId="1" applyNumberFormat="1" applyFill="1"/>
    <xf numFmtId="10" fontId="0" fillId="4" borderId="0" xfId="0" applyNumberFormat="1" applyFill="1"/>
    <xf numFmtId="3" fontId="0" fillId="4" borderId="0" xfId="0" applyNumberFormat="1" applyFill="1"/>
    <xf numFmtId="168" fontId="0" fillId="4" borderId="0" xfId="0" applyNumberFormat="1" applyFill="1"/>
    <xf numFmtId="0" fontId="0" fillId="4" borderId="0" xfId="0" applyFill="1" applyAlignment="1">
      <alignment horizontal="right"/>
    </xf>
    <xf numFmtId="9" fontId="0" fillId="4" borderId="0" xfId="0" applyNumberFormat="1" applyFill="1" applyAlignment="1">
      <alignment horizontal="right"/>
    </xf>
    <xf numFmtId="3" fontId="0" fillId="4" borderId="0" xfId="0" applyNumberFormat="1" applyFill="1" applyAlignment="1">
      <alignment horizontal="right"/>
    </xf>
    <xf numFmtId="9" fontId="0" fillId="4" borderId="0" xfId="0" applyNumberFormat="1" applyFill="1"/>
    <xf numFmtId="4" fontId="6" fillId="0" borderId="0" xfId="1" applyNumberFormat="1" applyFill="1"/>
    <xf numFmtId="4" fontId="7" fillId="0" borderId="0" xfId="1" applyNumberFormat="1" applyFont="1" applyFill="1"/>
    <xf numFmtId="10" fontId="0" fillId="4" borderId="0" xfId="0" applyNumberFormat="1" applyFill="1" applyAlignment="1">
      <alignment horizontal="right"/>
    </xf>
    <xf numFmtId="0" fontId="1" fillId="2" borderId="6" xfId="0" applyFont="1" applyFill="1" applyBorder="1"/>
    <xf numFmtId="168" fontId="0" fillId="4" borderId="0" xfId="0" applyNumberFormat="1" applyFill="1" applyAlignment="1">
      <alignment horizontal="right"/>
    </xf>
    <xf numFmtId="10" fontId="1" fillId="4" borderId="0" xfId="0" applyNumberFormat="1" applyFont="1" applyFill="1" applyAlignment="1">
      <alignment horizontal="right"/>
    </xf>
    <xf numFmtId="1" fontId="1" fillId="4" borderId="0" xfId="0" applyNumberFormat="1" applyFont="1" applyFill="1" applyAlignment="1">
      <alignment horizontal="right"/>
    </xf>
    <xf numFmtId="173" fontId="0" fillId="4" borderId="0" xfId="0" applyNumberFormat="1" applyFill="1" applyAlignment="1">
      <alignment horizontal="right"/>
    </xf>
    <xf numFmtId="172" fontId="1" fillId="4" borderId="0" xfId="0" applyNumberFormat="1" applyFont="1" applyFill="1" applyAlignment="1">
      <alignment horizontal="right"/>
    </xf>
    <xf numFmtId="173" fontId="0" fillId="4" borderId="0" xfId="0" applyNumberFormat="1" applyFill="1"/>
    <xf numFmtId="170" fontId="0" fillId="4" borderId="0" xfId="0" applyNumberFormat="1" applyFill="1"/>
    <xf numFmtId="0" fontId="7" fillId="4" borderId="0" xfId="1" applyFont="1" applyFill="1" applyAlignment="1"/>
    <xf numFmtId="9" fontId="6" fillId="4" borderId="0" xfId="1" applyNumberFormat="1" applyFill="1" applyAlignment="1"/>
    <xf numFmtId="0" fontId="7" fillId="0" borderId="0" xfId="1" applyFont="1" applyAlignment="1"/>
    <xf numFmtId="0" fontId="6" fillId="4" borderId="0" xfId="1" applyFill="1" applyAlignment="1">
      <alignment horizontal="right"/>
    </xf>
    <xf numFmtId="0" fontId="7" fillId="4" borderId="0" xfId="1" applyFont="1" applyFill="1" applyAlignment="1">
      <alignment horizontal="right"/>
    </xf>
    <xf numFmtId="4" fontId="6" fillId="4" borderId="0" xfId="1" applyNumberFormat="1" applyFill="1" applyAlignment="1">
      <alignment horizontal="right"/>
    </xf>
    <xf numFmtId="3" fontId="6" fillId="4" borderId="0" xfId="1" applyNumberFormat="1" applyFill="1" applyBorder="1"/>
    <xf numFmtId="166" fontId="0" fillId="4" borderId="0" xfId="0" applyNumberFormat="1" applyFill="1"/>
    <xf numFmtId="10" fontId="6" fillId="4" borderId="0" xfId="1" applyNumberFormat="1" applyFill="1"/>
    <xf numFmtId="1" fontId="0" fillId="4" borderId="0" xfId="0" applyNumberFormat="1" applyFill="1" applyAlignment="1">
      <alignment horizontal="right"/>
    </xf>
    <xf numFmtId="166" fontId="1" fillId="4" borderId="0" xfId="0" applyNumberFormat="1" applyFont="1" applyFill="1" applyAlignment="1">
      <alignment horizontal="right"/>
    </xf>
    <xf numFmtId="0" fontId="1" fillId="3" borderId="5" xfId="0" applyFont="1" applyFill="1" applyBorder="1" applyAlignment="1">
      <alignment horizontal="left"/>
    </xf>
    <xf numFmtId="168" fontId="0" fillId="4" borderId="5" xfId="0" applyNumberFormat="1" applyFill="1" applyBorder="1"/>
    <xf numFmtId="168" fontId="0" fillId="13" borderId="5" xfId="0" applyNumberFormat="1" applyFill="1" applyBorder="1"/>
    <xf numFmtId="167" fontId="0" fillId="0" borderId="5" xfId="0" applyNumberFormat="1" applyBorder="1" applyAlignment="1">
      <alignment horizontal="right"/>
    </xf>
    <xf numFmtId="167" fontId="0" fillId="2" borderId="8" xfId="0" applyNumberFormat="1" applyFill="1" applyBorder="1" applyAlignment="1">
      <alignment horizontal="right"/>
    </xf>
    <xf numFmtId="10" fontId="1" fillId="3" borderId="5" xfId="0" applyNumberFormat="1" applyFont="1" applyFill="1" applyBorder="1" applyAlignment="1">
      <alignment horizontal="right"/>
    </xf>
    <xf numFmtId="0" fontId="6" fillId="4" borderId="5" xfId="1" applyFill="1" applyBorder="1"/>
    <xf numFmtId="0" fontId="0" fillId="4" borderId="5" xfId="0" applyFill="1" applyBorder="1" applyAlignment="1">
      <alignment horizontal="right"/>
    </xf>
    <xf numFmtId="0" fontId="0" fillId="0" borderId="5" xfId="0" applyBorder="1" applyAlignment="1">
      <alignment horizontal="right"/>
    </xf>
    <xf numFmtId="0" fontId="0" fillId="2" borderId="8" xfId="0" applyFill="1" applyBorder="1" applyAlignment="1">
      <alignment horizontal="right"/>
    </xf>
    <xf numFmtId="167" fontId="0" fillId="14" borderId="0" xfId="0" applyNumberFormat="1" applyFill="1"/>
    <xf numFmtId="3" fontId="0" fillId="14" borderId="0" xfId="0" applyNumberFormat="1" applyFill="1" applyAlignment="1">
      <alignment horizontal="left"/>
    </xf>
    <xf numFmtId="166" fontId="1" fillId="9" borderId="0" xfId="0" applyNumberFormat="1" applyFont="1" applyFill="1"/>
    <xf numFmtId="0" fontId="1" fillId="14" borderId="4" xfId="0" applyFont="1" applyFill="1" applyBorder="1"/>
    <xf numFmtId="0" fontId="11" fillId="2" borderId="6" xfId="0" applyFont="1" applyFill="1" applyBorder="1"/>
    <xf numFmtId="0" fontId="1" fillId="2" borderId="7" xfId="0" applyFont="1" applyFill="1" applyBorder="1"/>
    <xf numFmtId="0" fontId="1" fillId="9" borderId="4" xfId="0" applyFont="1" applyFill="1" applyBorder="1"/>
    <xf numFmtId="10" fontId="1" fillId="9" borderId="5" xfId="0" applyNumberFormat="1" applyFont="1" applyFill="1" applyBorder="1" applyAlignment="1">
      <alignment horizontal="right"/>
    </xf>
    <xf numFmtId="10" fontId="0" fillId="9" borderId="7" xfId="0" applyNumberFormat="1" applyFill="1" applyBorder="1" applyAlignment="1">
      <alignment horizontal="right"/>
    </xf>
    <xf numFmtId="10" fontId="0" fillId="8" borderId="0" xfId="0" applyNumberFormat="1" applyFill="1"/>
    <xf numFmtId="0" fontId="1" fillId="9" borderId="1" xfId="0" applyFont="1" applyFill="1" applyBorder="1"/>
    <xf numFmtId="10" fontId="1" fillId="9" borderId="2" xfId="0" applyNumberFormat="1" applyFont="1" applyFill="1" applyBorder="1"/>
    <xf numFmtId="10" fontId="1" fillId="9" borderId="2" xfId="0" applyNumberFormat="1" applyFont="1" applyFill="1" applyBorder="1" applyAlignment="1">
      <alignment horizontal="right"/>
    </xf>
    <xf numFmtId="169" fontId="1" fillId="9" borderId="2" xfId="0" applyNumberFormat="1" applyFont="1" applyFill="1" applyBorder="1" applyAlignment="1">
      <alignment horizontal="right"/>
    </xf>
    <xf numFmtId="169" fontId="0" fillId="9" borderId="2" xfId="0" applyNumberFormat="1" applyFill="1" applyBorder="1" applyAlignment="1">
      <alignment horizontal="right"/>
    </xf>
    <xf numFmtId="0" fontId="1" fillId="9" borderId="2" xfId="0" applyFont="1" applyFill="1" applyBorder="1"/>
    <xf numFmtId="10" fontId="1" fillId="9" borderId="0" xfId="0" applyNumberFormat="1" applyFont="1" applyFill="1"/>
    <xf numFmtId="0" fontId="0" fillId="9" borderId="2" xfId="0" applyFill="1" applyBorder="1"/>
    <xf numFmtId="0" fontId="1" fillId="9" borderId="0" xfId="0" applyFont="1" applyFill="1"/>
    <xf numFmtId="10" fontId="1" fillId="9" borderId="0" xfId="0" applyNumberFormat="1" applyFont="1" applyFill="1" applyAlignment="1">
      <alignment horizontal="right"/>
    </xf>
    <xf numFmtId="3" fontId="0" fillId="9" borderId="2" xfId="0" applyNumberFormat="1" applyFill="1" applyBorder="1"/>
    <xf numFmtId="10" fontId="0" fillId="9" borderId="7" xfId="0" applyNumberFormat="1" applyFill="1" applyBorder="1"/>
    <xf numFmtId="3" fontId="0" fillId="9" borderId="2" xfId="0" applyNumberFormat="1" applyFill="1" applyBorder="1" applyAlignment="1">
      <alignment horizontal="right"/>
    </xf>
    <xf numFmtId="0" fontId="0" fillId="9" borderId="5" xfId="0" applyFill="1" applyBorder="1"/>
    <xf numFmtId="10" fontId="1" fillId="3" borderId="7" xfId="0" applyNumberFormat="1" applyFont="1" applyFill="1" applyBorder="1"/>
    <xf numFmtId="3" fontId="1" fillId="3" borderId="7" xfId="0" applyNumberFormat="1" applyFont="1" applyFill="1" applyBorder="1"/>
    <xf numFmtId="1" fontId="1" fillId="3" borderId="7" xfId="0" applyNumberFormat="1" applyFont="1" applyFill="1" applyBorder="1"/>
    <xf numFmtId="10" fontId="1" fillId="3" borderId="7" xfId="0" applyNumberFormat="1" applyFont="1" applyFill="1" applyBorder="1" applyAlignment="1">
      <alignment horizontal="left"/>
    </xf>
    <xf numFmtId="172" fontId="1" fillId="3" borderId="7" xfId="0" applyNumberFormat="1" applyFont="1" applyFill="1" applyBorder="1"/>
    <xf numFmtId="0" fontId="0" fillId="3" borderId="8" xfId="0" applyFill="1" applyBorder="1"/>
    <xf numFmtId="1" fontId="1" fillId="0" borderId="0" xfId="0" applyNumberFormat="1" applyFont="1" applyAlignment="1">
      <alignment horizontal="right"/>
    </xf>
    <xf numFmtId="10" fontId="0" fillId="3" borderId="7" xfId="0" applyNumberFormat="1" applyFill="1" applyBorder="1"/>
    <xf numFmtId="0" fontId="0" fillId="3" borderId="7" xfId="0" applyFill="1" applyBorder="1"/>
    <xf numFmtId="1" fontId="0" fillId="3" borderId="7" xfId="0" applyNumberFormat="1" applyFill="1" applyBorder="1"/>
    <xf numFmtId="172" fontId="6" fillId="3" borderId="7" xfId="1" applyNumberFormat="1" applyFill="1" applyBorder="1"/>
    <xf numFmtId="10" fontId="0" fillId="9" borderId="2" xfId="0" applyNumberFormat="1" applyFill="1" applyBorder="1"/>
    <xf numFmtId="10" fontId="0" fillId="9" borderId="3" xfId="0" applyNumberFormat="1" applyFill="1" applyBorder="1"/>
    <xf numFmtId="10" fontId="0" fillId="9" borderId="8" xfId="0" applyNumberFormat="1" applyFill="1" applyBorder="1"/>
    <xf numFmtId="169" fontId="1" fillId="3" borderId="5" xfId="0" applyNumberFormat="1" applyFont="1" applyFill="1" applyBorder="1" applyAlignment="1">
      <alignment horizontal="right"/>
    </xf>
    <xf numFmtId="0" fontId="1" fillId="3" borderId="7" xfId="0" applyFont="1" applyFill="1" applyBorder="1" applyAlignment="1">
      <alignment horizontal="left"/>
    </xf>
    <xf numFmtId="10" fontId="0" fillId="9" borderId="0" xfId="0" applyNumberFormat="1" applyFill="1" applyAlignment="1">
      <alignment horizontal="right"/>
    </xf>
    <xf numFmtId="0" fontId="6" fillId="0" borderId="0" xfId="1" applyFill="1" applyBorder="1" applyAlignment="1">
      <alignment horizontal="right"/>
    </xf>
    <xf numFmtId="166" fontId="0" fillId="14" borderId="0" xfId="0" applyNumberFormat="1" applyFill="1" applyAlignment="1">
      <alignment horizontal="right"/>
    </xf>
    <xf numFmtId="166" fontId="0" fillId="14" borderId="0" xfId="0" applyNumberFormat="1" applyFill="1"/>
    <xf numFmtId="9" fontId="0" fillId="14" borderId="0" xfId="0" applyNumberFormat="1" applyFill="1" applyAlignment="1">
      <alignment horizontal="right"/>
    </xf>
    <xf numFmtId="168" fontId="0" fillId="14" borderId="0" xfId="0" applyNumberFormat="1" applyFill="1"/>
    <xf numFmtId="0" fontId="0" fillId="14" borderId="0" xfId="0" applyFill="1" applyAlignment="1">
      <alignment horizontal="right"/>
    </xf>
    <xf numFmtId="3" fontId="0" fillId="14" borderId="5" xfId="0" applyNumberFormat="1" applyFill="1" applyBorder="1" applyAlignment="1">
      <alignment horizontal="right"/>
    </xf>
    <xf numFmtId="9" fontId="0" fillId="14" borderId="0" xfId="0" applyNumberFormat="1" applyFill="1"/>
    <xf numFmtId="0" fontId="6" fillId="14" borderId="0" xfId="1" applyFill="1"/>
    <xf numFmtId="0" fontId="7" fillId="14" borderId="0" xfId="1" applyFont="1" applyFill="1"/>
    <xf numFmtId="4" fontId="6" fillId="14" borderId="0" xfId="1" applyNumberFormat="1" applyFill="1"/>
    <xf numFmtId="4" fontId="0" fillId="14" borderId="0" xfId="0" applyNumberFormat="1" applyFill="1" applyAlignment="1">
      <alignment horizontal="right"/>
    </xf>
    <xf numFmtId="0" fontId="0" fillId="14" borderId="0" xfId="0" applyFill="1"/>
    <xf numFmtId="0" fontId="0" fillId="14" borderId="0" xfId="0" applyFill="1" applyAlignment="1">
      <alignment horizontal="left"/>
    </xf>
    <xf numFmtId="9" fontId="6" fillId="14" borderId="0" xfId="1" applyNumberFormat="1" applyFill="1"/>
    <xf numFmtId="168" fontId="0" fillId="14" borderId="0" xfId="0" applyNumberFormat="1" applyFill="1" applyAlignment="1">
      <alignment horizontal="right"/>
    </xf>
    <xf numFmtId="10" fontId="0" fillId="9" borderId="0" xfId="0" applyNumberFormat="1" applyFill="1"/>
    <xf numFmtId="10" fontId="0" fillId="9" borderId="5" xfId="0" applyNumberFormat="1" applyFill="1" applyBorder="1"/>
    <xf numFmtId="10" fontId="1" fillId="0" borderId="0" xfId="0" applyNumberFormat="1" applyFont="1" applyAlignment="1">
      <alignment horizontal="right"/>
    </xf>
    <xf numFmtId="166" fontId="1" fillId="9" borderId="2" xfId="0" applyNumberFormat="1" applyFont="1" applyFill="1" applyBorder="1"/>
    <xf numFmtId="166" fontId="0" fillId="9" borderId="2" xfId="0" applyNumberFormat="1" applyFill="1" applyBorder="1"/>
    <xf numFmtId="166" fontId="1" fillId="9" borderId="3" xfId="0" applyNumberFormat="1" applyFont="1" applyFill="1" applyBorder="1"/>
    <xf numFmtId="166" fontId="0" fillId="9" borderId="0" xfId="0" applyNumberFormat="1" applyFill="1"/>
    <xf numFmtId="166" fontId="1" fillId="9" borderId="5" xfId="0" applyNumberFormat="1" applyFont="1" applyFill="1" applyBorder="1"/>
    <xf numFmtId="0" fontId="1" fillId="8" borderId="0" xfId="0" applyFont="1" applyFill="1" applyAlignment="1">
      <alignment horizontal="right"/>
    </xf>
    <xf numFmtId="165" fontId="0" fillId="2" borderId="7" xfId="0" applyNumberFormat="1" applyFill="1" applyBorder="1"/>
    <xf numFmtId="166" fontId="1" fillId="9" borderId="0" xfId="0" applyNumberFormat="1" applyFont="1" applyFill="1" applyAlignment="1">
      <alignment horizontal="right"/>
    </xf>
    <xf numFmtId="166" fontId="1" fillId="9" borderId="2" xfId="0" applyNumberFormat="1" applyFont="1" applyFill="1" applyBorder="1" applyAlignment="1">
      <alignment horizontal="right"/>
    </xf>
    <xf numFmtId="0" fontId="0" fillId="9" borderId="3" xfId="0" applyFill="1" applyBorder="1"/>
    <xf numFmtId="166" fontId="1" fillId="9" borderId="3" xfId="0" applyNumberFormat="1" applyFont="1" applyFill="1" applyBorder="1" applyAlignment="1">
      <alignment horizontal="right"/>
    </xf>
    <xf numFmtId="166" fontId="1" fillId="9" borderId="5" xfId="0" applyNumberFormat="1" applyFont="1" applyFill="1" applyBorder="1" applyAlignment="1">
      <alignment horizontal="right"/>
    </xf>
    <xf numFmtId="166" fontId="1" fillId="9" borderId="8" xfId="0" applyNumberFormat="1" applyFont="1" applyFill="1" applyBorder="1" applyAlignment="1">
      <alignment horizontal="right"/>
    </xf>
    <xf numFmtId="0" fontId="0" fillId="15" borderId="0" xfId="0" applyFill="1" applyAlignment="1">
      <alignment horizontal="left"/>
    </xf>
    <xf numFmtId="0" fontId="0" fillId="15" borderId="0" xfId="0" applyFill="1"/>
    <xf numFmtId="0" fontId="0" fillId="4" borderId="0" xfId="0" applyFill="1" applyAlignment="1">
      <alignment horizontal="left"/>
    </xf>
    <xf numFmtId="0" fontId="0" fillId="4" borderId="0" xfId="0" applyFill="1"/>
    <xf numFmtId="166" fontId="0" fillId="9" borderId="2" xfId="0" applyNumberFormat="1" applyFill="1" applyBorder="1" applyAlignment="1">
      <alignment horizontal="right"/>
    </xf>
    <xf numFmtId="166" fontId="0" fillId="9" borderId="3" xfId="0" applyNumberFormat="1" applyFill="1" applyBorder="1" applyAlignment="1">
      <alignment horizontal="right"/>
    </xf>
    <xf numFmtId="166" fontId="0" fillId="9" borderId="0" xfId="0" applyNumberFormat="1" applyFill="1" applyAlignment="1">
      <alignment horizontal="right"/>
    </xf>
    <xf numFmtId="166" fontId="0" fillId="9" borderId="5" xfId="0" applyNumberFormat="1" applyFill="1" applyBorder="1" applyAlignment="1">
      <alignment horizontal="right"/>
    </xf>
    <xf numFmtId="166" fontId="0" fillId="9" borderId="7" xfId="0" applyNumberFormat="1" applyFill="1" applyBorder="1" applyAlignment="1">
      <alignment horizontal="right"/>
    </xf>
    <xf numFmtId="166" fontId="0" fillId="9" borderId="8" xfId="0" applyNumberFormat="1" applyFill="1" applyBorder="1" applyAlignment="1">
      <alignment horizontal="right"/>
    </xf>
    <xf numFmtId="166" fontId="1" fillId="0" borderId="5" xfId="0" applyNumberFormat="1" applyFont="1" applyBorder="1" applyAlignment="1">
      <alignment horizontal="right"/>
    </xf>
    <xf numFmtId="166" fontId="0" fillId="2" borderId="7" xfId="0" applyNumberFormat="1" applyFill="1" applyBorder="1" applyAlignment="1">
      <alignment horizontal="right"/>
    </xf>
    <xf numFmtId="0" fontId="0" fillId="8" borderId="8" xfId="0" applyFill="1" applyBorder="1" applyAlignment="1">
      <alignment horizontal="right"/>
    </xf>
    <xf numFmtId="0" fontId="0" fillId="9" borderId="3" xfId="0" applyFill="1" applyBorder="1" applyAlignment="1">
      <alignment horizontal="right"/>
    </xf>
    <xf numFmtId="10" fontId="0" fillId="9" borderId="2" xfId="0" applyNumberFormat="1" applyFill="1" applyBorder="1" applyAlignment="1">
      <alignment horizontal="right"/>
    </xf>
    <xf numFmtId="0" fontId="1" fillId="6" borderId="4" xfId="0" applyFont="1" applyFill="1" applyBorder="1"/>
    <xf numFmtId="166" fontId="0" fillId="6" borderId="0" xfId="0" applyNumberFormat="1" applyFill="1"/>
    <xf numFmtId="3" fontId="0" fillId="6" borderId="0" xfId="0" applyNumberFormat="1" applyFill="1"/>
    <xf numFmtId="167" fontId="0" fillId="6" borderId="0" xfId="0" applyNumberFormat="1" applyFill="1"/>
    <xf numFmtId="0" fontId="7" fillId="4" borderId="0" xfId="1" applyFont="1" applyFill="1" applyBorder="1"/>
    <xf numFmtId="0" fontId="10" fillId="4" borderId="0" xfId="1" applyFont="1" applyFill="1" applyBorder="1"/>
    <xf numFmtId="165" fontId="7" fillId="4" borderId="0" xfId="1" applyNumberFormat="1" applyFont="1" applyFill="1" applyBorder="1" applyAlignment="1">
      <alignment horizontal="left"/>
    </xf>
    <xf numFmtId="0" fontId="6" fillId="4" borderId="0" xfId="1" applyFill="1" applyBorder="1"/>
    <xf numFmtId="0" fontId="0" fillId="4" borderId="7" xfId="0" applyFill="1" applyBorder="1"/>
    <xf numFmtId="0" fontId="0" fillId="4" borderId="7" xfId="0" applyFill="1" applyBorder="1" applyAlignment="1">
      <alignment horizontal="right"/>
    </xf>
    <xf numFmtId="0" fontId="17" fillId="4" borderId="0" xfId="0" applyFont="1" applyFill="1"/>
    <xf numFmtId="0" fontId="7" fillId="4" borderId="7" xfId="1" applyFont="1" applyFill="1" applyBorder="1"/>
    <xf numFmtId="0" fontId="6" fillId="4" borderId="7" xfId="1" applyFill="1" applyBorder="1"/>
    <xf numFmtId="165" fontId="7" fillId="4" borderId="7" xfId="1" applyNumberFormat="1" applyFont="1" applyFill="1" applyBorder="1" applyAlignment="1">
      <alignment horizontal="left"/>
    </xf>
    <xf numFmtId="0" fontId="10" fillId="4" borderId="7" xfId="1" applyFont="1" applyFill="1" applyBorder="1"/>
    <xf numFmtId="165" fontId="1" fillId="2" borderId="0" xfId="0" applyNumberFormat="1" applyFont="1" applyFill="1"/>
    <xf numFmtId="0" fontId="18" fillId="2" borderId="0" xfId="0" applyFont="1" applyFill="1"/>
    <xf numFmtId="168" fontId="0" fillId="0" borderId="0" xfId="0" applyNumberFormat="1" applyAlignment="1">
      <alignment horizontal="right"/>
    </xf>
    <xf numFmtId="168" fontId="7" fillId="0" borderId="0" xfId="0" applyNumberFormat="1" applyFont="1"/>
    <xf numFmtId="168" fontId="0" fillId="12" borderId="0" xfId="0" applyNumberFormat="1" applyFill="1"/>
    <xf numFmtId="173" fontId="0" fillId="0" borderId="0" xfId="0" applyNumberFormat="1" applyAlignment="1">
      <alignment horizontal="right"/>
    </xf>
    <xf numFmtId="9" fontId="0" fillId="0" borderId="0" xfId="0" applyNumberFormat="1" applyAlignment="1">
      <alignment horizontal="right"/>
    </xf>
    <xf numFmtId="0" fontId="6" fillId="14" borderId="0" xfId="1" applyFill="1" applyAlignment="1">
      <alignment horizontal="left"/>
    </xf>
    <xf numFmtId="173" fontId="0" fillId="14" borderId="0" xfId="0" applyNumberFormat="1" applyFill="1"/>
    <xf numFmtId="170" fontId="0" fillId="0" borderId="0" xfId="0" applyNumberFormat="1"/>
    <xf numFmtId="3" fontId="0" fillId="9" borderId="0" xfId="0" applyNumberFormat="1" applyFill="1" applyAlignment="1">
      <alignment horizontal="left"/>
    </xf>
    <xf numFmtId="0" fontId="7" fillId="2" borderId="0" xfId="1" applyFont="1" applyFill="1" applyBorder="1" applyAlignment="1">
      <alignment horizontal="right"/>
    </xf>
    <xf numFmtId="169" fontId="0" fillId="9" borderId="0" xfId="0" applyNumberFormat="1" applyFill="1"/>
    <xf numFmtId="0" fontId="10" fillId="0" borderId="0" xfId="1" applyFont="1" applyBorder="1"/>
    <xf numFmtId="169" fontId="0" fillId="0" borderId="0" xfId="0" applyNumberFormat="1"/>
    <xf numFmtId="0" fontId="15" fillId="16" borderId="0" xfId="0" applyFont="1" applyFill="1"/>
    <xf numFmtId="0" fontId="0" fillId="16" borderId="0" xfId="0" applyFill="1"/>
    <xf numFmtId="0" fontId="0" fillId="0" borderId="7" xfId="0" applyBorder="1" applyAlignment="1">
      <alignment horizontal="left"/>
    </xf>
    <xf numFmtId="0" fontId="6" fillId="0" borderId="7" xfId="1" applyFill="1" applyBorder="1"/>
    <xf numFmtId="168" fontId="0" fillId="0" borderId="5" xfId="0" applyNumberFormat="1" applyBorder="1" applyAlignment="1">
      <alignment horizontal="left"/>
    </xf>
    <xf numFmtId="168" fontId="6" fillId="0" borderId="5" xfId="1" applyNumberFormat="1" applyBorder="1" applyAlignment="1">
      <alignment horizontal="left"/>
    </xf>
    <xf numFmtId="0" fontId="6" fillId="0" borderId="8" xfId="1" applyBorder="1"/>
    <xf numFmtId="1" fontId="0" fillId="0" borderId="0" xfId="0" applyNumberFormat="1" applyAlignment="1">
      <alignment horizontal="left"/>
    </xf>
    <xf numFmtId="0" fontId="0" fillId="4" borderId="4" xfId="0" applyFill="1" applyBorder="1"/>
    <xf numFmtId="0" fontId="0" fillId="17" borderId="0" xfId="0" applyFill="1"/>
    <xf numFmtId="168" fontId="6" fillId="0" borderId="0" xfId="1" applyNumberFormat="1" applyFill="1" applyBorder="1" applyAlignment="1">
      <alignment horizontal="left"/>
    </xf>
    <xf numFmtId="168" fontId="7" fillId="0" borderId="0" xfId="1" applyNumberFormat="1" applyFont="1" applyFill="1" applyBorder="1" applyAlignment="1">
      <alignment horizontal="left"/>
    </xf>
    <xf numFmtId="168" fontId="0" fillId="0" borderId="0" xfId="0" applyNumberFormat="1" applyAlignment="1">
      <alignment horizontal="left"/>
    </xf>
    <xf numFmtId="0" fontId="0" fillId="3" borderId="6" xfId="0" applyFill="1" applyBorder="1"/>
    <xf numFmtId="0" fontId="7" fillId="0" borderId="5" xfId="0" applyFont="1" applyBorder="1" applyAlignment="1">
      <alignment horizontal="left"/>
    </xf>
    <xf numFmtId="0" fontId="7" fillId="0" borderId="5" xfId="0" applyFont="1" applyBorder="1"/>
    <xf numFmtId="49" fontId="0" fillId="0" borderId="0" xfId="0" applyNumberFormat="1" applyAlignment="1">
      <alignment horizontal="right"/>
    </xf>
    <xf numFmtId="0" fontId="10" fillId="0" borderId="0" xfId="1" applyFont="1" applyFill="1" applyBorder="1" applyAlignment="1">
      <alignment horizontal="left"/>
    </xf>
    <xf numFmtId="0" fontId="0" fillId="0" borderId="0" xfId="0" quotePrefix="1" applyAlignment="1">
      <alignment horizontal="right"/>
    </xf>
    <xf numFmtId="0" fontId="7" fillId="9" borderId="0" xfId="1" applyFont="1" applyFill="1" applyBorder="1" applyAlignment="1">
      <alignment horizontal="right"/>
    </xf>
    <xf numFmtId="0" fontId="7" fillId="5" borderId="0" xfId="1" applyFont="1" applyFill="1" applyBorder="1" applyAlignment="1">
      <alignment horizontal="right"/>
    </xf>
    <xf numFmtId="1" fontId="7" fillId="5" borderId="0" xfId="0" quotePrefix="1" applyNumberFormat="1" applyFont="1" applyFill="1" applyAlignment="1">
      <alignment horizontal="right"/>
    </xf>
    <xf numFmtId="1" fontId="7" fillId="5" borderId="0" xfId="0" applyNumberFormat="1" applyFont="1" applyFill="1" applyAlignment="1">
      <alignment horizontal="right"/>
    </xf>
    <xf numFmtId="170" fontId="0" fillId="0" borderId="0" xfId="0" applyNumberFormat="1" applyAlignment="1">
      <alignment horizontal="right"/>
    </xf>
    <xf numFmtId="1" fontId="7" fillId="0" borderId="0" xfId="0" applyNumberFormat="1" applyFont="1" applyAlignment="1">
      <alignment horizontal="right"/>
    </xf>
    <xf numFmtId="0" fontId="11" fillId="0" borderId="0" xfId="0" applyFont="1" applyAlignment="1">
      <alignment horizontal="left"/>
    </xf>
    <xf numFmtId="168" fontId="7" fillId="0" borderId="5" xfId="1" applyNumberFormat="1" applyFont="1" applyBorder="1" applyAlignment="1">
      <alignment horizontal="left"/>
    </xf>
    <xf numFmtId="168" fontId="7" fillId="0" borderId="5" xfId="0" applyNumberFormat="1" applyFont="1" applyBorder="1" applyAlignment="1">
      <alignment horizontal="left"/>
    </xf>
    <xf numFmtId="49" fontId="7" fillId="0" borderId="0" xfId="0" applyNumberFormat="1" applyFont="1" applyAlignment="1">
      <alignment horizontal="left"/>
    </xf>
    <xf numFmtId="0" fontId="7" fillId="0" borderId="7" xfId="1" applyFont="1" applyBorder="1"/>
    <xf numFmtId="0" fontId="7" fillId="0" borderId="7" xfId="0" applyFont="1" applyBorder="1" applyAlignment="1">
      <alignment horizontal="left"/>
    </xf>
    <xf numFmtId="1" fontId="7" fillId="0" borderId="7" xfId="0" applyNumberFormat="1" applyFont="1" applyBorder="1" applyAlignment="1">
      <alignment horizontal="left"/>
    </xf>
    <xf numFmtId="168" fontId="7" fillId="0" borderId="8" xfId="1" applyNumberFormat="1" applyFont="1" applyBorder="1" applyAlignment="1">
      <alignment horizontal="left"/>
    </xf>
    <xf numFmtId="175" fontId="0" fillId="0" borderId="0" xfId="0" applyNumberFormat="1"/>
    <xf numFmtId="174" fontId="0" fillId="9" borderId="0" xfId="0" applyNumberFormat="1" applyFill="1" applyAlignment="1">
      <alignment horizontal="right"/>
    </xf>
    <xf numFmtId="0" fontId="10" fillId="0" borderId="0" xfId="1" applyFont="1" applyFill="1"/>
    <xf numFmtId="4" fontId="0" fillId="9" borderId="0" xfId="0" applyNumberFormat="1" applyFill="1" applyAlignment="1">
      <alignment horizontal="right"/>
    </xf>
    <xf numFmtId="3" fontId="1" fillId="12" borderId="0" xfId="0" applyNumberFormat="1" applyFont="1" applyFill="1"/>
    <xf numFmtId="1" fontId="10" fillId="0" borderId="0" xfId="1" applyNumberFormat="1" applyFont="1"/>
    <xf numFmtId="176" fontId="0" fillId="9" borderId="0" xfId="0" applyNumberFormat="1" applyFill="1" applyAlignment="1">
      <alignment horizontal="right"/>
    </xf>
    <xf numFmtId="1" fontId="0" fillId="9" borderId="0" xfId="0" applyNumberFormat="1" applyFill="1" applyAlignment="1">
      <alignment horizontal="right"/>
    </xf>
    <xf numFmtId="0" fontId="1" fillId="12" borderId="1" xfId="0" applyFont="1" applyFill="1" applyBorder="1"/>
    <xf numFmtId="0" fontId="1" fillId="12" borderId="2" xfId="0" applyFont="1" applyFill="1" applyBorder="1"/>
    <xf numFmtId="0" fontId="1" fillId="12" borderId="3" xfId="0" applyFont="1" applyFill="1" applyBorder="1" applyAlignment="1">
      <alignment horizontal="left"/>
    </xf>
    <xf numFmtId="0" fontId="0" fillId="12" borderId="2" xfId="0" applyFill="1" applyBorder="1" applyAlignment="1">
      <alignment horizontal="left"/>
    </xf>
    <xf numFmtId="1" fontId="0" fillId="12" borderId="2" xfId="0" applyNumberFormat="1" applyFill="1" applyBorder="1" applyAlignment="1">
      <alignment horizontal="right"/>
    </xf>
    <xf numFmtId="168" fontId="0" fillId="12" borderId="3" xfId="0" applyNumberFormat="1" applyFill="1" applyBorder="1" applyAlignment="1">
      <alignment horizontal="left"/>
    </xf>
    <xf numFmtId="0" fontId="0" fillId="12" borderId="2" xfId="0" applyFill="1" applyBorder="1"/>
    <xf numFmtId="3" fontId="0" fillId="12" borderId="2" xfId="0" applyNumberFormat="1" applyFill="1" applyBorder="1"/>
    <xf numFmtId="3" fontId="0" fillId="12" borderId="2" xfId="0" applyNumberFormat="1" applyFill="1" applyBorder="1" applyAlignment="1">
      <alignment horizontal="right"/>
    </xf>
    <xf numFmtId="168" fontId="0" fillId="12" borderId="2" xfId="0" applyNumberFormat="1" applyFill="1" applyBorder="1"/>
    <xf numFmtId="1" fontId="0" fillId="12" borderId="2" xfId="0" applyNumberFormat="1" applyFill="1" applyBorder="1"/>
    <xf numFmtId="165" fontId="0" fillId="12" borderId="2" xfId="0" applyNumberFormat="1" applyFill="1" applyBorder="1"/>
    <xf numFmtId="2" fontId="0" fillId="12" borderId="2" xfId="0" applyNumberFormat="1" applyFill="1" applyBorder="1"/>
    <xf numFmtId="2" fontId="0" fillId="12" borderId="3" xfId="0" applyNumberFormat="1" applyFill="1" applyBorder="1"/>
    <xf numFmtId="0" fontId="1" fillId="12" borderId="3" xfId="0" applyFont="1" applyFill="1" applyBorder="1"/>
    <xf numFmtId="0" fontId="0" fillId="12" borderId="2" xfId="0" applyFill="1" applyBorder="1" applyAlignment="1">
      <alignment horizontal="right"/>
    </xf>
    <xf numFmtId="168" fontId="0" fillId="12" borderId="2" xfId="0" applyNumberFormat="1" applyFill="1" applyBorder="1" applyAlignment="1">
      <alignment horizontal="right"/>
    </xf>
    <xf numFmtId="165" fontId="0" fillId="12" borderId="2" xfId="0" applyNumberFormat="1" applyFill="1" applyBorder="1" applyAlignment="1">
      <alignment horizontal="right"/>
    </xf>
    <xf numFmtId="2" fontId="0" fillId="12" borderId="2" xfId="0" applyNumberFormat="1" applyFill="1" applyBorder="1" applyAlignment="1">
      <alignment horizontal="right"/>
    </xf>
    <xf numFmtId="167" fontId="0" fillId="12" borderId="2" xfId="0" applyNumberFormat="1" applyFill="1" applyBorder="1" applyAlignment="1">
      <alignment horizontal="right"/>
    </xf>
    <xf numFmtId="167" fontId="0" fillId="12" borderId="2" xfId="0" applyNumberFormat="1" applyFill="1" applyBorder="1"/>
    <xf numFmtId="0" fontId="6" fillId="12" borderId="2" xfId="1" applyFill="1" applyBorder="1"/>
    <xf numFmtId="0" fontId="7" fillId="12" borderId="2" xfId="1" applyFont="1" applyFill="1" applyBorder="1"/>
    <xf numFmtId="0" fontId="7" fillId="12" borderId="2" xfId="1" applyFont="1" applyFill="1" applyBorder="1" applyAlignment="1">
      <alignment horizontal="left"/>
    </xf>
    <xf numFmtId="1" fontId="7" fillId="12" borderId="2" xfId="0" applyNumberFormat="1" applyFont="1" applyFill="1" applyBorder="1"/>
    <xf numFmtId="169" fontId="0" fillId="6" borderId="0" xfId="0" applyNumberFormat="1" applyFill="1"/>
    <xf numFmtId="1" fontId="0" fillId="4" borderId="7" xfId="0" applyNumberFormat="1" applyFill="1" applyBorder="1" applyAlignment="1">
      <alignment horizontal="right"/>
    </xf>
    <xf numFmtId="10" fontId="0" fillId="6" borderId="0" xfId="0" applyNumberFormat="1" applyFill="1"/>
    <xf numFmtId="2" fontId="7" fillId="0" borderId="5" xfId="0" applyNumberFormat="1" applyFont="1" applyBorder="1" applyAlignment="1">
      <alignment horizontal="left"/>
    </xf>
    <xf numFmtId="0" fontId="1" fillId="3" borderId="9" xfId="0" applyFont="1" applyFill="1" applyBorder="1"/>
    <xf numFmtId="0" fontId="1" fillId="3" borderId="10" xfId="0" applyFont="1" applyFill="1" applyBorder="1"/>
    <xf numFmtId="0" fontId="7" fillId="0" borderId="10" xfId="0" applyFont="1" applyBorder="1" applyAlignment="1">
      <alignment horizontal="left"/>
    </xf>
    <xf numFmtId="0" fontId="0" fillId="0" borderId="10" xfId="0" applyBorder="1"/>
    <xf numFmtId="0" fontId="0" fillId="0" borderId="11" xfId="0" applyBorder="1"/>
    <xf numFmtId="0" fontId="1" fillId="3" borderId="11" xfId="0" applyFont="1" applyFill="1" applyBorder="1"/>
    <xf numFmtId="0" fontId="1" fillId="12" borderId="9" xfId="0" applyFont="1" applyFill="1" applyBorder="1"/>
    <xf numFmtId="1" fontId="7" fillId="0" borderId="0" xfId="0" applyNumberFormat="1" applyFont="1" applyAlignment="1">
      <alignment horizontal="left"/>
    </xf>
    <xf numFmtId="0" fontId="0" fillId="0" borderId="0" xfId="0" applyAlignment="1">
      <alignment horizontal="left" wrapText="1"/>
    </xf>
    <xf numFmtId="168" fontId="7" fillId="0" borderId="10" xfId="1" applyNumberFormat="1" applyFont="1" applyFill="1" applyBorder="1" applyAlignment="1">
      <alignment horizontal="left"/>
    </xf>
    <xf numFmtId="0" fontId="0" fillId="3" borderId="11" xfId="0" applyFill="1" applyBorder="1"/>
    <xf numFmtId="0" fontId="11" fillId="12" borderId="2" xfId="0" applyFont="1" applyFill="1" applyBorder="1"/>
    <xf numFmtId="0" fontId="11" fillId="12" borderId="2" xfId="0" applyFont="1" applyFill="1" applyBorder="1" applyAlignment="1">
      <alignment horizontal="left"/>
    </xf>
    <xf numFmtId="1" fontId="11" fillId="12" borderId="2" xfId="0" applyNumberFormat="1" applyFont="1" applyFill="1" applyBorder="1" applyAlignment="1">
      <alignment horizontal="right"/>
    </xf>
    <xf numFmtId="0" fontId="11" fillId="12" borderId="3" xfId="0" applyFont="1" applyFill="1" applyBorder="1" applyAlignment="1">
      <alignment horizontal="left"/>
    </xf>
    <xf numFmtId="0" fontId="0" fillId="12" borderId="3" xfId="0" applyFill="1" applyBorder="1"/>
    <xf numFmtId="0" fontId="10" fillId="9" borderId="0" xfId="1" applyFont="1" applyFill="1" applyBorder="1" applyAlignment="1">
      <alignment horizontal="right"/>
    </xf>
    <xf numFmtId="1" fontId="6" fillId="9" borderId="0" xfId="1" applyNumberFormat="1" applyFill="1"/>
    <xf numFmtId="1" fontId="10" fillId="9" borderId="0" xfId="1" applyNumberFormat="1" applyFont="1" applyFill="1"/>
    <xf numFmtId="1" fontId="7" fillId="9" borderId="0" xfId="1" applyNumberFormat="1" applyFont="1" applyFill="1"/>
    <xf numFmtId="0" fontId="10" fillId="9" borderId="0" xfId="1" applyFont="1" applyFill="1" applyBorder="1"/>
    <xf numFmtId="1" fontId="7" fillId="9" borderId="0" xfId="0" quotePrefix="1" applyNumberFormat="1" applyFont="1" applyFill="1" applyAlignment="1">
      <alignment horizontal="right"/>
    </xf>
    <xf numFmtId="1" fontId="7" fillId="9" borderId="0" xfId="0" applyNumberFormat="1" applyFont="1" applyFill="1" applyAlignment="1">
      <alignment horizontal="right"/>
    </xf>
    <xf numFmtId="1" fontId="7" fillId="9" borderId="0" xfId="0" applyNumberFormat="1" applyFont="1" applyFill="1"/>
    <xf numFmtId="168" fontId="7" fillId="0" borderId="0" xfId="0" applyNumberFormat="1" applyFont="1" applyAlignment="1">
      <alignment horizontal="right"/>
    </xf>
    <xf numFmtId="0" fontId="7" fillId="2" borderId="0" xfId="1" applyFont="1" applyFill="1" applyBorder="1"/>
    <xf numFmtId="0" fontId="7" fillId="8" borderId="0" xfId="1" applyFont="1" applyFill="1" applyBorder="1" applyAlignment="1"/>
    <xf numFmtId="0" fontId="6" fillId="8" borderId="0" xfId="1" applyFill="1" applyBorder="1" applyAlignment="1"/>
    <xf numFmtId="0" fontId="6" fillId="8" borderId="0" xfId="1" applyFill="1" applyBorder="1" applyAlignment="1">
      <alignment horizontal="left"/>
    </xf>
    <xf numFmtId="0" fontId="7" fillId="8" borderId="0" xfId="1" applyFont="1" applyFill="1" applyBorder="1" applyAlignment="1">
      <alignment horizontal="left"/>
    </xf>
    <xf numFmtId="2" fontId="0" fillId="8" borderId="0" xfId="0" applyNumberFormat="1" applyFill="1" applyAlignment="1">
      <alignment horizontal="left"/>
    </xf>
    <xf numFmtId="2" fontId="0" fillId="8" borderId="0" xfId="0" applyNumberFormat="1" applyFill="1"/>
    <xf numFmtId="2" fontId="6" fillId="8" borderId="5" xfId="1" applyNumberFormat="1" applyFill="1" applyBorder="1" applyAlignment="1">
      <alignment horizontal="left"/>
    </xf>
    <xf numFmtId="0" fontId="1" fillId="2" borderId="4" xfId="0" applyFont="1" applyFill="1" applyBorder="1"/>
    <xf numFmtId="166" fontId="0" fillId="2" borderId="0" xfId="0" applyNumberFormat="1" applyFill="1" applyAlignment="1">
      <alignment horizontal="right"/>
    </xf>
    <xf numFmtId="166" fontId="0" fillId="2" borderId="0" xfId="0" applyNumberFormat="1" applyFill="1"/>
    <xf numFmtId="168" fontId="0" fillId="2" borderId="0" xfId="0" applyNumberFormat="1" applyFill="1"/>
    <xf numFmtId="3" fontId="0" fillId="2" borderId="5" xfId="0" applyNumberFormat="1" applyFill="1" applyBorder="1" applyAlignment="1">
      <alignment horizontal="right"/>
    </xf>
    <xf numFmtId="0" fontId="0" fillId="2" borderId="4" xfId="0" applyFill="1" applyBorder="1"/>
    <xf numFmtId="10" fontId="0" fillId="2" borderId="0" xfId="0" applyNumberFormat="1" applyFill="1"/>
    <xf numFmtId="3" fontId="0" fillId="2" borderId="0" xfId="0" applyNumberFormat="1" applyFill="1" applyAlignment="1">
      <alignment horizontal="left"/>
    </xf>
    <xf numFmtId="2" fontId="0" fillId="2" borderId="0" xfId="0" applyNumberFormat="1" applyFill="1" applyAlignment="1">
      <alignment horizontal="left"/>
    </xf>
    <xf numFmtId="2" fontId="0" fillId="2" borderId="5" xfId="0" applyNumberFormat="1" applyFill="1" applyBorder="1" applyAlignment="1">
      <alignment horizontal="left"/>
    </xf>
    <xf numFmtId="2" fontId="0" fillId="9" borderId="0" xfId="0" applyNumberFormat="1" applyFill="1" applyAlignment="1">
      <alignment horizontal="right"/>
    </xf>
    <xf numFmtId="0" fontId="7" fillId="0" borderId="5" xfId="1" applyFont="1" applyFill="1" applyBorder="1" applyAlignment="1">
      <alignment horizontal="left"/>
    </xf>
    <xf numFmtId="3" fontId="7" fillId="0" borderId="0" xfId="1" applyNumberFormat="1" applyFont="1" applyFill="1" applyBorder="1" applyAlignment="1">
      <alignment horizontal="left"/>
    </xf>
    <xf numFmtId="165" fontId="7" fillId="0" borderId="5" xfId="0" applyNumberFormat="1" applyFont="1" applyBorder="1" applyAlignment="1">
      <alignment horizontal="left"/>
    </xf>
    <xf numFmtId="165" fontId="7" fillId="0" borderId="5" xfId="0" applyNumberFormat="1" applyFont="1" applyBorder="1" applyAlignment="1">
      <alignment horizontal="right"/>
    </xf>
    <xf numFmtId="0" fontId="0" fillId="18" borderId="0" xfId="0" applyFill="1"/>
    <xf numFmtId="0" fontId="0" fillId="13" borderId="0" xfId="0" applyFill="1"/>
    <xf numFmtId="165" fontId="0" fillId="9" borderId="0" xfId="0" applyNumberFormat="1" applyFill="1" applyAlignment="1">
      <alignment horizontal="right"/>
    </xf>
    <xf numFmtId="4" fontId="0" fillId="12" borderId="2" xfId="0" applyNumberFormat="1" applyFill="1" applyBorder="1"/>
    <xf numFmtId="4" fontId="0" fillId="12" borderId="3" xfId="0" applyNumberFormat="1" applyFill="1" applyBorder="1"/>
    <xf numFmtId="173" fontId="0" fillId="12" borderId="2" xfId="0" applyNumberFormat="1" applyFill="1" applyBorder="1"/>
    <xf numFmtId="168" fontId="7" fillId="0" borderId="7" xfId="1" applyNumberFormat="1" applyFont="1" applyFill="1" applyBorder="1" applyAlignment="1">
      <alignment horizontal="left"/>
    </xf>
    <xf numFmtId="0" fontId="1" fillId="12" borderId="1" xfId="0" applyFont="1" applyFill="1" applyBorder="1" applyAlignment="1">
      <alignment horizontal="left"/>
    </xf>
    <xf numFmtId="0" fontId="0" fillId="0" borderId="4" xfId="0" applyBorder="1" applyAlignment="1">
      <alignment horizontal="left"/>
    </xf>
    <xf numFmtId="0" fontId="7" fillId="0" borderId="4" xfId="0" applyFont="1" applyBorder="1" applyAlignment="1">
      <alignment horizontal="left"/>
    </xf>
    <xf numFmtId="0" fontId="7" fillId="0" borderId="6" xfId="0" applyFont="1" applyBorder="1" applyAlignment="1">
      <alignment horizontal="left"/>
    </xf>
    <xf numFmtId="0" fontId="0" fillId="0" borderId="5" xfId="0" applyBorder="1" applyAlignment="1">
      <alignment horizontal="left"/>
    </xf>
    <xf numFmtId="0" fontId="7" fillId="0" borderId="8" xfId="0" applyFont="1" applyBorder="1" applyAlignment="1">
      <alignment horizontal="left"/>
    </xf>
    <xf numFmtId="177" fontId="0" fillId="0" borderId="0" xfId="0" applyNumberFormat="1"/>
    <xf numFmtId="178" fontId="0" fillId="0" borderId="0" xfId="0" applyNumberFormat="1"/>
    <xf numFmtId="174" fontId="0" fillId="9" borderId="0" xfId="0" applyNumberFormat="1" applyFill="1"/>
    <xf numFmtId="4" fontId="0" fillId="9" borderId="0" xfId="0" applyNumberFormat="1" applyFill="1"/>
    <xf numFmtId="0" fontId="0" fillId="0" borderId="0" xfId="0" applyAlignment="1">
      <alignment wrapText="1"/>
    </xf>
    <xf numFmtId="0" fontId="6" fillId="9" borderId="0" xfId="1" applyFill="1" applyBorder="1" applyAlignment="1"/>
    <xf numFmtId="0" fontId="10" fillId="0" borderId="0" xfId="1" applyFont="1" applyFill="1" applyBorder="1"/>
    <xf numFmtId="8" fontId="0" fillId="0" borderId="0" xfId="0" applyNumberFormat="1" applyAlignment="1">
      <alignment horizontal="left"/>
    </xf>
    <xf numFmtId="0" fontId="7" fillId="9" borderId="0" xfId="0" applyFont="1" applyFill="1"/>
    <xf numFmtId="1" fontId="7" fillId="0" borderId="0" xfId="1" applyNumberFormat="1" applyFont="1" applyBorder="1"/>
    <xf numFmtId="170" fontId="0" fillId="12" borderId="2" xfId="0" applyNumberFormat="1" applyFill="1" applyBorder="1" applyAlignment="1">
      <alignment horizontal="right"/>
    </xf>
    <xf numFmtId="170" fontId="0" fillId="12" borderId="2" xfId="0" applyNumberFormat="1" applyFill="1" applyBorder="1"/>
    <xf numFmtId="165" fontId="1" fillId="12" borderId="3" xfId="0" applyNumberFormat="1" applyFont="1" applyFill="1" applyBorder="1"/>
    <xf numFmtId="165" fontId="0" fillId="12" borderId="3" xfId="0" applyNumberFormat="1" applyFill="1" applyBorder="1" applyAlignment="1">
      <alignment horizontal="right"/>
    </xf>
    <xf numFmtId="165" fontId="0" fillId="12" borderId="3" xfId="0" applyNumberFormat="1" applyFill="1" applyBorder="1"/>
    <xf numFmtId="165" fontId="0" fillId="4" borderId="5" xfId="0" applyNumberFormat="1" applyFill="1" applyBorder="1" applyAlignment="1">
      <alignment horizontal="right"/>
    </xf>
    <xf numFmtId="165" fontId="0" fillId="4" borderId="8" xfId="0" applyNumberFormat="1" applyFill="1" applyBorder="1" applyAlignment="1">
      <alignment horizontal="right"/>
    </xf>
    <xf numFmtId="0" fontId="10" fillId="12" borderId="2" xfId="1" applyFont="1" applyFill="1" applyBorder="1"/>
    <xf numFmtId="165" fontId="6" fillId="0" borderId="5" xfId="1" applyNumberFormat="1" applyBorder="1"/>
    <xf numFmtId="167" fontId="0" fillId="12" borderId="3" xfId="0" applyNumberFormat="1" applyFill="1" applyBorder="1" applyAlignment="1">
      <alignment horizontal="right"/>
    </xf>
    <xf numFmtId="167" fontId="0" fillId="12" borderId="3" xfId="0" applyNumberFormat="1" applyFill="1" applyBorder="1"/>
    <xf numFmtId="165" fontId="6" fillId="0" borderId="5" xfId="1" applyNumberFormat="1" applyBorder="1" applyAlignment="1">
      <alignment horizontal="right"/>
    </xf>
    <xf numFmtId="0" fontId="22" fillId="0" borderId="0" xfId="0" applyFont="1"/>
    <xf numFmtId="0" fontId="21" fillId="2" borderId="4" xfId="0" applyFont="1" applyFill="1" applyBorder="1"/>
    <xf numFmtId="0" fontId="22" fillId="2" borderId="0" xfId="0" applyFont="1" applyFill="1" applyAlignment="1">
      <alignment horizontal="left"/>
    </xf>
    <xf numFmtId="0" fontId="22" fillId="2" borderId="0" xfId="0" applyFont="1" applyFill="1"/>
    <xf numFmtId="3" fontId="22" fillId="2" borderId="0" xfId="0" applyNumberFormat="1" applyFont="1" applyFill="1"/>
    <xf numFmtId="3" fontId="22" fillId="2" borderId="0" xfId="0" applyNumberFormat="1" applyFont="1" applyFill="1" applyAlignment="1">
      <alignment horizontal="right"/>
    </xf>
    <xf numFmtId="0" fontId="22" fillId="2" borderId="0" xfId="0" applyFont="1" applyFill="1" applyAlignment="1">
      <alignment horizontal="right"/>
    </xf>
    <xf numFmtId="165" fontId="22" fillId="2" borderId="0" xfId="0" applyNumberFormat="1" applyFont="1" applyFill="1"/>
    <xf numFmtId="168" fontId="22" fillId="2" borderId="0" xfId="0" applyNumberFormat="1" applyFont="1" applyFill="1"/>
    <xf numFmtId="1" fontId="22" fillId="2" borderId="0" xfId="0" applyNumberFormat="1" applyFont="1" applyFill="1" applyAlignment="1">
      <alignment horizontal="right"/>
    </xf>
    <xf numFmtId="2" fontId="22" fillId="2" borderId="0" xfId="0" applyNumberFormat="1" applyFont="1" applyFill="1"/>
    <xf numFmtId="2" fontId="22" fillId="2" borderId="5" xfId="0" applyNumberFormat="1" applyFont="1" applyFill="1" applyBorder="1"/>
    <xf numFmtId="170" fontId="0" fillId="0" borderId="5" xfId="0" applyNumberFormat="1" applyBorder="1" applyAlignment="1">
      <alignment horizontal="right"/>
    </xf>
    <xf numFmtId="0" fontId="0" fillId="2" borderId="0" xfId="0" applyFill="1" applyAlignment="1">
      <alignment horizontal="right"/>
    </xf>
    <xf numFmtId="1" fontId="0" fillId="2" borderId="0" xfId="0" applyNumberFormat="1" applyFill="1"/>
    <xf numFmtId="1" fontId="0" fillId="2" borderId="0" xfId="0" applyNumberFormat="1" applyFill="1" applyAlignment="1">
      <alignment horizontal="right"/>
    </xf>
    <xf numFmtId="168" fontId="0" fillId="2" borderId="0" xfId="0" applyNumberFormat="1" applyFill="1" applyAlignment="1">
      <alignment horizontal="right"/>
    </xf>
    <xf numFmtId="165" fontId="0" fillId="2" borderId="0" xfId="0" applyNumberFormat="1" applyFill="1" applyAlignment="1">
      <alignment horizontal="right"/>
    </xf>
    <xf numFmtId="2" fontId="0" fillId="2" borderId="0" xfId="0" applyNumberFormat="1" applyFill="1" applyAlignment="1">
      <alignment horizontal="right"/>
    </xf>
    <xf numFmtId="4" fontId="0" fillId="2" borderId="5" xfId="0" applyNumberFormat="1" applyFill="1" applyBorder="1" applyAlignment="1">
      <alignment horizontal="right"/>
    </xf>
    <xf numFmtId="0" fontId="11" fillId="2" borderId="4" xfId="0" applyFont="1" applyFill="1" applyBorder="1"/>
    <xf numFmtId="0" fontId="7" fillId="2" borderId="0" xfId="0" applyFont="1" applyFill="1"/>
    <xf numFmtId="168" fontId="7" fillId="2" borderId="0" xfId="0" applyNumberFormat="1" applyFont="1" applyFill="1" applyAlignment="1">
      <alignment horizontal="right"/>
    </xf>
    <xf numFmtId="3" fontId="7" fillId="2" borderId="0" xfId="0" applyNumberFormat="1" applyFont="1" applyFill="1"/>
    <xf numFmtId="3" fontId="7" fillId="2" borderId="0" xfId="0" applyNumberFormat="1" applyFont="1" applyFill="1" applyAlignment="1">
      <alignment horizontal="right"/>
    </xf>
    <xf numFmtId="173" fontId="7" fillId="2" borderId="0" xfId="0" applyNumberFormat="1" applyFont="1" applyFill="1" applyAlignment="1">
      <alignment horizontal="right"/>
    </xf>
    <xf numFmtId="167" fontId="7" fillId="2" borderId="5" xfId="0" applyNumberFormat="1" applyFont="1" applyFill="1" applyBorder="1" applyAlignment="1">
      <alignment horizontal="left"/>
    </xf>
    <xf numFmtId="0" fontId="22" fillId="2" borderId="0" xfId="1" applyFont="1" applyFill="1" applyBorder="1"/>
    <xf numFmtId="0" fontId="22" fillId="2" borderId="0" xfId="1" applyFont="1" applyFill="1" applyBorder="1" applyAlignment="1">
      <alignment horizontal="left"/>
    </xf>
    <xf numFmtId="0" fontId="22" fillId="2" borderId="0" xfId="1" applyFont="1" applyFill="1" applyBorder="1" applyAlignment="1">
      <alignment horizontal="right"/>
    </xf>
    <xf numFmtId="165" fontId="22" fillId="2" borderId="5" xfId="0" applyNumberFormat="1" applyFont="1" applyFill="1" applyBorder="1" applyAlignment="1">
      <alignment horizontal="right"/>
    </xf>
    <xf numFmtId="0" fontId="6" fillId="2" borderId="0" xfId="1" applyFill="1" applyBorder="1"/>
    <xf numFmtId="165" fontId="0" fillId="2" borderId="5" xfId="0" applyNumberFormat="1" applyFill="1" applyBorder="1" applyAlignment="1">
      <alignment horizontal="left"/>
    </xf>
    <xf numFmtId="0" fontId="22" fillId="2" borderId="0" xfId="1" applyFont="1" applyFill="1"/>
    <xf numFmtId="0" fontId="6" fillId="12" borderId="2" xfId="1" applyFill="1" applyBorder="1" applyAlignment="1">
      <alignment horizontal="left"/>
    </xf>
    <xf numFmtId="2" fontId="0" fillId="12" borderId="2" xfId="0" applyNumberFormat="1" applyFill="1" applyBorder="1" applyAlignment="1">
      <alignment horizontal="left"/>
    </xf>
    <xf numFmtId="165" fontId="6" fillId="12" borderId="2" xfId="1" applyNumberFormat="1" applyFill="1" applyBorder="1" applyAlignment="1"/>
    <xf numFmtId="2" fontId="0" fillId="12" borderId="3" xfId="0" applyNumberFormat="1" applyFill="1" applyBorder="1" applyAlignment="1">
      <alignment horizontal="left"/>
    </xf>
    <xf numFmtId="2" fontId="6" fillId="12" borderId="2" xfId="1" applyNumberFormat="1" applyFill="1" applyBorder="1" applyAlignment="1">
      <alignment horizontal="left"/>
    </xf>
    <xf numFmtId="0" fontId="6" fillId="2" borderId="0" xfId="1" applyFill="1" applyBorder="1" applyAlignment="1">
      <alignment horizontal="left"/>
    </xf>
    <xf numFmtId="2" fontId="7" fillId="2" borderId="0" xfId="0" applyNumberFormat="1" applyFont="1" applyFill="1" applyAlignment="1">
      <alignment horizontal="left"/>
    </xf>
    <xf numFmtId="2" fontId="7" fillId="2" borderId="5" xfId="0" applyNumberFormat="1" applyFont="1" applyFill="1" applyBorder="1" applyAlignment="1">
      <alignment horizontal="left"/>
    </xf>
    <xf numFmtId="0" fontId="10" fillId="2" borderId="0" xfId="1" applyFont="1" applyFill="1" applyBorder="1" applyAlignment="1">
      <alignment horizontal="left"/>
    </xf>
    <xf numFmtId="170" fontId="7" fillId="0" borderId="0" xfId="0" applyNumberFormat="1" applyFont="1" applyAlignment="1">
      <alignment horizontal="right"/>
    </xf>
    <xf numFmtId="172" fontId="0" fillId="0" borderId="0" xfId="0" applyNumberFormat="1"/>
    <xf numFmtId="0" fontId="7" fillId="0" borderId="7" xfId="1" applyFont="1" applyFill="1" applyBorder="1" applyAlignment="1">
      <alignment horizontal="left"/>
    </xf>
    <xf numFmtId="177" fontId="0" fillId="9" borderId="0" xfId="0" applyNumberFormat="1" applyFill="1"/>
    <xf numFmtId="177" fontId="0" fillId="12" borderId="2" xfId="0" applyNumberFormat="1" applyFill="1" applyBorder="1"/>
    <xf numFmtId="4" fontId="0" fillId="12" borderId="3" xfId="0" applyNumberFormat="1" applyFill="1" applyBorder="1" applyAlignment="1">
      <alignment horizontal="right"/>
    </xf>
    <xf numFmtId="3" fontId="7" fillId="0" borderId="0" xfId="0" applyNumberFormat="1" applyFont="1" applyAlignment="1">
      <alignment horizontal="left"/>
    </xf>
    <xf numFmtId="165" fontId="7" fillId="0" borderId="0" xfId="0" applyNumberFormat="1" applyFont="1" applyAlignment="1">
      <alignment horizontal="left"/>
    </xf>
    <xf numFmtId="49" fontId="0" fillId="12" borderId="2" xfId="0" applyNumberFormat="1" applyFill="1" applyBorder="1" applyAlignment="1">
      <alignment horizontal="right"/>
    </xf>
    <xf numFmtId="174" fontId="0" fillId="12" borderId="2" xfId="0" applyNumberFormat="1" applyFill="1" applyBorder="1"/>
    <xf numFmtId="176" fontId="0" fillId="12" borderId="2" xfId="0" applyNumberFormat="1" applyFill="1" applyBorder="1"/>
    <xf numFmtId="174" fontId="0" fillId="12" borderId="2" xfId="0" applyNumberFormat="1" applyFill="1" applyBorder="1" applyAlignment="1">
      <alignment horizontal="right"/>
    </xf>
    <xf numFmtId="169" fontId="0" fillId="12" borderId="2" xfId="0" applyNumberFormat="1" applyFill="1" applyBorder="1"/>
    <xf numFmtId="173" fontId="0" fillId="12" borderId="2" xfId="0" applyNumberFormat="1" applyFill="1" applyBorder="1" applyAlignment="1">
      <alignment horizontal="right"/>
    </xf>
    <xf numFmtId="169" fontId="0" fillId="12" borderId="3" xfId="0" applyNumberFormat="1" applyFill="1" applyBorder="1" applyAlignment="1">
      <alignment horizontal="right"/>
    </xf>
    <xf numFmtId="176" fontId="0" fillId="0" borderId="0" xfId="0" applyNumberFormat="1"/>
    <xf numFmtId="174" fontId="0" fillId="0" borderId="0" xfId="0" applyNumberFormat="1" applyAlignment="1">
      <alignment horizontal="right"/>
    </xf>
    <xf numFmtId="174" fontId="0" fillId="0" borderId="0" xfId="0" applyNumberFormat="1"/>
    <xf numFmtId="169" fontId="0" fillId="0" borderId="5" xfId="0" applyNumberFormat="1" applyBorder="1" applyAlignment="1">
      <alignment horizontal="right"/>
    </xf>
    <xf numFmtId="169" fontId="0" fillId="12" borderId="2" xfId="0" applyNumberFormat="1" applyFill="1" applyBorder="1" applyAlignment="1">
      <alignment horizontal="right"/>
    </xf>
    <xf numFmtId="4" fontId="0" fillId="12" borderId="2" xfId="0" applyNumberFormat="1" applyFill="1" applyBorder="1" applyAlignment="1">
      <alignment horizontal="right"/>
    </xf>
    <xf numFmtId="179" fontId="0" fillId="0" borderId="0" xfId="0" applyNumberFormat="1"/>
    <xf numFmtId="165" fontId="10" fillId="0" borderId="0" xfId="1" applyNumberFormat="1" applyFont="1" applyFill="1" applyBorder="1" applyAlignment="1">
      <alignment horizontal="right"/>
    </xf>
    <xf numFmtId="0" fontId="1" fillId="4" borderId="12" xfId="0" applyFont="1" applyFill="1" applyBorder="1"/>
    <xf numFmtId="0" fontId="6" fillId="0" borderId="13" xfId="1" applyFill="1" applyBorder="1"/>
    <xf numFmtId="0" fontId="7" fillId="0" borderId="13" xfId="1" applyFont="1" applyFill="1" applyBorder="1" applyAlignment="1">
      <alignment horizontal="left"/>
    </xf>
    <xf numFmtId="0" fontId="0" fillId="0" borderId="13" xfId="0" applyBorder="1"/>
    <xf numFmtId="2" fontId="0" fillId="0" borderId="13" xfId="0" applyNumberFormat="1" applyBorder="1" applyAlignment="1">
      <alignment horizontal="left"/>
    </xf>
    <xf numFmtId="0" fontId="7" fillId="9" borderId="13" xfId="1" applyFont="1" applyFill="1" applyBorder="1" applyAlignment="1">
      <alignment horizontal="left"/>
    </xf>
    <xf numFmtId="2" fontId="0" fillId="9" borderId="13" xfId="0" applyNumberFormat="1" applyFill="1" applyBorder="1" applyAlignment="1">
      <alignment horizontal="left"/>
    </xf>
    <xf numFmtId="2" fontId="0" fillId="9" borderId="13" xfId="0" applyNumberFormat="1" applyFill="1" applyBorder="1" applyAlignment="1">
      <alignment horizontal="right"/>
    </xf>
    <xf numFmtId="2" fontId="0" fillId="0" borderId="14" xfId="0" applyNumberFormat="1" applyBorder="1" applyAlignment="1">
      <alignment horizontal="left"/>
    </xf>
    <xf numFmtId="3" fontId="0" fillId="0" borderId="5" xfId="0" applyNumberFormat="1" applyBorder="1"/>
    <xf numFmtId="3" fontId="0" fillId="0" borderId="5" xfId="0" applyNumberFormat="1" applyBorder="1" applyAlignment="1">
      <alignment horizontal="right"/>
    </xf>
    <xf numFmtId="3" fontId="0" fillId="12" borderId="3" xfId="0" applyNumberFormat="1" applyFill="1" applyBorder="1"/>
    <xf numFmtId="0" fontId="6" fillId="0" borderId="0" xfId="1" applyFill="1" applyAlignment="1"/>
    <xf numFmtId="0" fontId="7" fillId="0" borderId="0" xfId="1" applyFont="1" applyBorder="1" applyAlignment="1"/>
    <xf numFmtId="180" fontId="0" fillId="0" borderId="0" xfId="0" applyNumberFormat="1"/>
    <xf numFmtId="172" fontId="0" fillId="2" borderId="0" xfId="0" applyNumberFormat="1" applyFill="1"/>
    <xf numFmtId="172" fontId="0" fillId="2" borderId="7" xfId="0" applyNumberFormat="1" applyFill="1" applyBorder="1"/>
    <xf numFmtId="173" fontId="0" fillId="2" borderId="0" xfId="0" applyNumberFormat="1" applyFill="1"/>
    <xf numFmtId="4" fontId="0" fillId="14" borderId="0" xfId="0" applyNumberFormat="1" applyFill="1"/>
    <xf numFmtId="3" fontId="0" fillId="9" borderId="2" xfId="0" applyNumberFormat="1" applyFill="1" applyBorder="1" applyAlignment="1">
      <alignment horizontal="left"/>
    </xf>
    <xf numFmtId="10" fontId="0" fillId="9" borderId="0" xfId="0" applyNumberFormat="1" applyFill="1" applyAlignment="1">
      <alignment horizontal="left"/>
    </xf>
    <xf numFmtId="10" fontId="0" fillId="9" borderId="7" xfId="0" applyNumberFormat="1" applyFill="1" applyBorder="1" applyAlignment="1">
      <alignment horizontal="left"/>
    </xf>
    <xf numFmtId="0" fontId="10" fillId="0" borderId="0" xfId="1" applyFont="1" applyBorder="1" applyAlignment="1">
      <alignment horizontal="left"/>
    </xf>
    <xf numFmtId="2" fontId="1" fillId="3" borderId="0" xfId="0" applyNumberFormat="1" applyFont="1" applyFill="1"/>
    <xf numFmtId="9" fontId="0" fillId="2" borderId="0" xfId="0" applyNumberFormat="1" applyFill="1"/>
    <xf numFmtId="168" fontId="0" fillId="2" borderId="5" xfId="0" applyNumberFormat="1" applyFill="1" applyBorder="1"/>
    <xf numFmtId="0" fontId="0" fillId="2" borderId="5" xfId="0" applyFill="1" applyBorder="1" applyAlignment="1">
      <alignment horizontal="right"/>
    </xf>
    <xf numFmtId="167" fontId="0" fillId="2" borderId="0" xfId="0" applyNumberFormat="1" applyFill="1"/>
    <xf numFmtId="165" fontId="0" fillId="2" borderId="5" xfId="0" applyNumberFormat="1" applyFill="1" applyBorder="1"/>
    <xf numFmtId="167" fontId="0" fillId="2" borderId="5" xfId="0" applyNumberFormat="1" applyFill="1" applyBorder="1"/>
    <xf numFmtId="167" fontId="0" fillId="2" borderId="0" xfId="0" applyNumberFormat="1" applyFill="1" applyAlignment="1">
      <alignment horizontal="right"/>
    </xf>
    <xf numFmtId="167" fontId="0" fillId="2" borderId="5" xfId="0" applyNumberFormat="1" applyFill="1" applyBorder="1" applyAlignment="1">
      <alignment horizontal="right"/>
    </xf>
    <xf numFmtId="10" fontId="0" fillId="2" borderId="0" xfId="0" applyNumberFormat="1" applyFill="1" applyAlignment="1">
      <alignment horizontal="right"/>
    </xf>
    <xf numFmtId="3" fontId="1" fillId="3" borderId="0" xfId="0" applyNumberFormat="1" applyFont="1" applyFill="1" applyAlignment="1">
      <alignment horizontal="left"/>
    </xf>
    <xf numFmtId="168" fontId="0" fillId="6" borderId="0" xfId="0" applyNumberFormat="1" applyFill="1"/>
    <xf numFmtId="168" fontId="0" fillId="14" borderId="2" xfId="0" applyNumberFormat="1" applyFill="1" applyBorder="1" applyAlignment="1">
      <alignment horizontal="right"/>
    </xf>
    <xf numFmtId="0" fontId="0" fillId="0" borderId="7" xfId="0" applyBorder="1" applyAlignment="1">
      <alignment horizontal="right"/>
    </xf>
    <xf numFmtId="0" fontId="7" fillId="0" borderId="7" xfId="0" applyFont="1" applyBorder="1" applyAlignment="1">
      <alignment horizontal="right"/>
    </xf>
    <xf numFmtId="3" fontId="0" fillId="9" borderId="7" xfId="0" applyNumberFormat="1" applyFill="1" applyBorder="1" applyAlignment="1">
      <alignment horizontal="right"/>
    </xf>
    <xf numFmtId="3" fontId="7" fillId="0" borderId="7" xfId="0" applyNumberFormat="1" applyFont="1" applyBorder="1" applyAlignment="1">
      <alignment horizontal="right"/>
    </xf>
    <xf numFmtId="3" fontId="0" fillId="0" borderId="7" xfId="0" applyNumberFormat="1" applyBorder="1" applyAlignment="1">
      <alignment horizontal="right"/>
    </xf>
    <xf numFmtId="168" fontId="0" fillId="0" borderId="7" xfId="0" applyNumberFormat="1" applyBorder="1" applyAlignment="1">
      <alignment horizontal="right"/>
    </xf>
    <xf numFmtId="1" fontId="0" fillId="0" borderId="7" xfId="0" applyNumberFormat="1" applyBorder="1" applyAlignment="1">
      <alignment horizontal="right"/>
    </xf>
    <xf numFmtId="2" fontId="0" fillId="0" borderId="7" xfId="0" applyNumberFormat="1" applyBorder="1" applyAlignment="1">
      <alignment horizontal="right"/>
    </xf>
    <xf numFmtId="0" fontId="7" fillId="0" borderId="7" xfId="1" applyFont="1" applyFill="1" applyBorder="1" applyAlignment="1">
      <alignment horizontal="right"/>
    </xf>
    <xf numFmtId="0" fontId="6" fillId="0" borderId="7" xfId="1" applyFill="1" applyBorder="1" applyAlignment="1">
      <alignment horizontal="right"/>
    </xf>
    <xf numFmtId="3" fontId="7" fillId="0" borderId="7" xfId="1" applyNumberFormat="1" applyFont="1" applyFill="1" applyBorder="1" applyAlignment="1">
      <alignment horizontal="right"/>
    </xf>
    <xf numFmtId="1" fontId="7" fillId="0" borderId="7" xfId="0" applyNumberFormat="1" applyFont="1" applyBorder="1" applyAlignment="1">
      <alignment horizontal="right"/>
    </xf>
    <xf numFmtId="0" fontId="0" fillId="9" borderId="7" xfId="0" applyFill="1" applyBorder="1" applyAlignment="1">
      <alignment horizontal="right"/>
    </xf>
    <xf numFmtId="165" fontId="7" fillId="0" borderId="7" xfId="0" applyNumberFormat="1" applyFont="1" applyBorder="1" applyAlignment="1">
      <alignment horizontal="right"/>
    </xf>
    <xf numFmtId="165" fontId="7" fillId="0" borderId="8" xfId="0" applyNumberFormat="1" applyFont="1" applyBorder="1" applyAlignment="1">
      <alignment horizontal="right"/>
    </xf>
    <xf numFmtId="3" fontId="0" fillId="0" borderId="7" xfId="0" applyNumberFormat="1" applyBorder="1"/>
    <xf numFmtId="3" fontId="0" fillId="9" borderId="7" xfId="0" applyNumberFormat="1" applyFill="1" applyBorder="1"/>
    <xf numFmtId="179" fontId="0" fillId="0" borderId="7" xfId="0" applyNumberFormat="1" applyBorder="1"/>
    <xf numFmtId="4" fontId="0" fillId="0" borderId="7" xfId="0" applyNumberFormat="1" applyBorder="1" applyAlignment="1">
      <alignment horizontal="right"/>
    </xf>
    <xf numFmtId="3" fontId="0" fillId="0" borderId="8" xfId="0" applyNumberFormat="1" applyBorder="1" applyAlignment="1">
      <alignment horizontal="right"/>
    </xf>
    <xf numFmtId="0" fontId="7" fillId="9" borderId="7" xfId="1" applyFont="1" applyFill="1" applyBorder="1" applyAlignment="1">
      <alignment horizontal="right"/>
    </xf>
    <xf numFmtId="0" fontId="7" fillId="0" borderId="8" xfId="1" applyFont="1" applyFill="1" applyBorder="1" applyAlignment="1">
      <alignment horizontal="left"/>
    </xf>
    <xf numFmtId="3" fontId="23" fillId="6" borderId="0" xfId="0" applyNumberFormat="1" applyFont="1" applyFill="1"/>
    <xf numFmtId="168" fontId="0" fillId="9" borderId="0" xfId="0" applyNumberFormat="1" applyFill="1" applyAlignment="1">
      <alignment horizontal="right"/>
    </xf>
    <xf numFmtId="174" fontId="0" fillId="0" borderId="7" xfId="0" applyNumberFormat="1" applyBorder="1" applyAlignment="1">
      <alignment horizontal="right"/>
    </xf>
    <xf numFmtId="173" fontId="0" fillId="0" borderId="7" xfId="0" applyNumberFormat="1" applyBorder="1" applyAlignment="1">
      <alignment horizontal="right"/>
    </xf>
    <xf numFmtId="167" fontId="0" fillId="0" borderId="8" xfId="0" applyNumberFormat="1" applyBorder="1" applyAlignment="1">
      <alignment horizontal="right"/>
    </xf>
    <xf numFmtId="174" fontId="0" fillId="9" borderId="7" xfId="0" applyNumberFormat="1" applyFill="1" applyBorder="1" applyAlignment="1">
      <alignment horizontal="right"/>
    </xf>
    <xf numFmtId="11" fontId="0" fillId="9" borderId="0" xfId="0" applyNumberFormat="1" applyFill="1" applyAlignment="1">
      <alignment horizontal="right"/>
    </xf>
    <xf numFmtId="11" fontId="0" fillId="9" borderId="7" xfId="0" applyNumberFormat="1" applyFill="1" applyBorder="1" applyAlignment="1">
      <alignment horizontal="right"/>
    </xf>
    <xf numFmtId="0" fontId="16" fillId="12" borderId="4" xfId="0" applyFont="1" applyFill="1" applyBorder="1"/>
    <xf numFmtId="0" fontId="16" fillId="12" borderId="0" xfId="0" applyFont="1" applyFill="1"/>
    <xf numFmtId="0" fontId="16" fillId="12" borderId="5" xfId="0" applyFont="1" applyFill="1" applyBorder="1"/>
    <xf numFmtId="0" fontId="16" fillId="12" borderId="1" xfId="0" applyFont="1" applyFill="1" applyBorder="1"/>
    <xf numFmtId="0" fontId="16" fillId="12" borderId="2" xfId="0" applyFont="1" applyFill="1" applyBorder="1"/>
    <xf numFmtId="0" fontId="16" fillId="12" borderId="3" xfId="0" applyFont="1" applyFill="1" applyBorder="1" applyAlignment="1">
      <alignment horizontal="left"/>
    </xf>
    <xf numFmtId="0" fontId="8" fillId="0" borderId="0" xfId="0" applyFont="1" applyAlignment="1">
      <alignment horizontal="left"/>
    </xf>
    <xf numFmtId="0" fontId="0" fillId="19" borderId="0" xfId="0" applyFill="1"/>
    <xf numFmtId="0" fontId="1" fillId="19" borderId="0" xfId="0" applyFont="1" applyFill="1"/>
    <xf numFmtId="3" fontId="0" fillId="19" borderId="0" xfId="0" applyNumberFormat="1" applyFill="1"/>
    <xf numFmtId="0" fontId="7" fillId="13" borderId="0" xfId="0" applyFont="1" applyFill="1"/>
    <xf numFmtId="49" fontId="13" fillId="0" borderId="0" xfId="0" applyNumberFormat="1" applyFont="1" applyAlignment="1">
      <alignment horizontal="left"/>
    </xf>
    <xf numFmtId="0" fontId="7" fillId="0" borderId="0" xfId="1" applyFont="1" applyFill="1" applyBorder="1" applyAlignment="1"/>
    <xf numFmtId="0" fontId="7" fillId="13" borderId="2" xfId="0" applyFont="1" applyFill="1" applyBorder="1" applyAlignment="1">
      <alignment horizontal="left"/>
    </xf>
    <xf numFmtId="0" fontId="7" fillId="13" borderId="3" xfId="0" applyFont="1" applyFill="1" applyBorder="1" applyAlignment="1">
      <alignment horizontal="left"/>
    </xf>
    <xf numFmtId="0" fontId="7" fillId="13" borderId="7" xfId="0" applyFont="1" applyFill="1" applyBorder="1"/>
    <xf numFmtId="0" fontId="7" fillId="13" borderId="7" xfId="0" applyFont="1" applyFill="1" applyBorder="1" applyAlignment="1">
      <alignment horizontal="left"/>
    </xf>
    <xf numFmtId="0" fontId="7" fillId="13" borderId="8" xfId="0" applyFont="1" applyFill="1" applyBorder="1" applyAlignment="1">
      <alignment horizontal="left"/>
    </xf>
    <xf numFmtId="0" fontId="7" fillId="20" borderId="10" xfId="0" applyFont="1" applyFill="1" applyBorder="1" applyAlignment="1">
      <alignment horizontal="left"/>
    </xf>
    <xf numFmtId="0" fontId="0" fillId="21" borderId="0" xfId="0" applyFill="1" applyAlignment="1">
      <alignment horizontal="left"/>
    </xf>
    <xf numFmtId="0" fontId="7" fillId="21" borderId="0" xfId="0" applyFont="1" applyFill="1" applyAlignment="1">
      <alignment horizontal="left"/>
    </xf>
    <xf numFmtId="0" fontId="0" fillId="21" borderId="10" xfId="0" applyFill="1" applyBorder="1"/>
    <xf numFmtId="0" fontId="11" fillId="9" borderId="0" xfId="0" applyFont="1" applyFill="1"/>
    <xf numFmtId="0" fontId="10" fillId="9" borderId="0" xfId="1" applyFont="1" applyFill="1"/>
    <xf numFmtId="3" fontId="14" fillId="0" borderId="0" xfId="0" applyNumberFormat="1" applyFont="1"/>
    <xf numFmtId="165" fontId="7" fillId="2" borderId="0" xfId="0" applyNumberFormat="1" applyFont="1" applyFill="1" applyAlignment="1">
      <alignment horizontal="right"/>
    </xf>
    <xf numFmtId="0" fontId="7" fillId="2" borderId="0" xfId="0" applyFont="1" applyFill="1" applyAlignment="1">
      <alignment horizontal="left"/>
    </xf>
    <xf numFmtId="0" fontId="7" fillId="2" borderId="5" xfId="0" applyFont="1" applyFill="1" applyBorder="1" applyAlignment="1">
      <alignment horizontal="left"/>
    </xf>
    <xf numFmtId="0" fontId="7" fillId="20" borderId="5" xfId="0" applyFont="1" applyFill="1" applyBorder="1" applyAlignment="1">
      <alignment horizontal="left"/>
    </xf>
    <xf numFmtId="172" fontId="0" fillId="10" borderId="0" xfId="0" applyNumberFormat="1" applyFill="1"/>
    <xf numFmtId="172" fontId="0" fillId="10" borderId="0" xfId="0" applyNumberFormat="1" applyFill="1" applyAlignment="1">
      <alignment horizontal="right"/>
    </xf>
    <xf numFmtId="168" fontId="0" fillId="0" borderId="8" xfId="0" applyNumberFormat="1" applyBorder="1" applyAlignment="1">
      <alignment horizontal="left"/>
    </xf>
    <xf numFmtId="0" fontId="11" fillId="0" borderId="8" xfId="0" applyFont="1" applyBorder="1"/>
    <xf numFmtId="2" fontId="7" fillId="9" borderId="0" xfId="0" applyNumberFormat="1" applyFont="1" applyFill="1" applyAlignment="1">
      <alignment horizontal="left"/>
    </xf>
    <xf numFmtId="164" fontId="0" fillId="9" borderId="0" xfId="0" applyNumberFormat="1" applyFill="1"/>
    <xf numFmtId="164" fontId="0" fillId="9" borderId="0" xfId="0" applyNumberFormat="1" applyFill="1" applyAlignment="1">
      <alignment horizontal="right"/>
    </xf>
    <xf numFmtId="0" fontId="0" fillId="0" borderId="2" xfId="0" applyBorder="1" applyAlignment="1">
      <alignment horizontal="left"/>
    </xf>
    <xf numFmtId="0" fontId="7" fillId="2" borderId="7" xfId="0" applyFont="1" applyFill="1" applyBorder="1" applyAlignment="1">
      <alignment horizontal="left"/>
    </xf>
    <xf numFmtId="0" fontId="0" fillId="2" borderId="8" xfId="0" applyFill="1" applyBorder="1"/>
    <xf numFmtId="0" fontId="0" fillId="2" borderId="5" xfId="0" applyFill="1" applyBorder="1"/>
    <xf numFmtId="165" fontId="7" fillId="2" borderId="5" xfId="0" applyNumberFormat="1" applyFont="1" applyFill="1" applyBorder="1" applyAlignment="1">
      <alignment horizontal="right"/>
    </xf>
    <xf numFmtId="0" fontId="11" fillId="2" borderId="0" xfId="0" applyFont="1" applyFill="1" applyAlignment="1">
      <alignment horizontal="right"/>
    </xf>
    <xf numFmtId="170" fontId="7" fillId="2" borderId="0" xfId="0" applyNumberFormat="1" applyFont="1" applyFill="1" applyAlignment="1">
      <alignment horizontal="right"/>
    </xf>
    <xf numFmtId="0" fontId="6" fillId="2" borderId="7" xfId="1" applyFill="1" applyBorder="1" applyAlignment="1">
      <alignment horizontal="left"/>
    </xf>
    <xf numFmtId="164" fontId="0" fillId="0" borderId="0" xfId="0" applyNumberFormat="1" applyAlignment="1">
      <alignment horizontal="right"/>
    </xf>
    <xf numFmtId="0" fontId="10" fillId="2" borderId="7" xfId="1" applyFont="1" applyFill="1" applyBorder="1" applyAlignment="1">
      <alignment horizontal="left"/>
    </xf>
    <xf numFmtId="3" fontId="6" fillId="0" borderId="0" xfId="1" applyNumberFormat="1" applyFill="1" applyBorder="1" applyAlignment="1">
      <alignment horizontal="left"/>
    </xf>
    <xf numFmtId="165" fontId="7" fillId="0" borderId="0" xfId="0" applyNumberFormat="1" applyFont="1" applyAlignment="1">
      <alignment horizontal="right"/>
    </xf>
    <xf numFmtId="165" fontId="7" fillId="0" borderId="0" xfId="1" applyNumberFormat="1" applyFont="1" applyFill="1" applyBorder="1" applyAlignment="1">
      <alignment horizontal="right"/>
    </xf>
    <xf numFmtId="165" fontId="7" fillId="0" borderId="0" xfId="1" applyNumberFormat="1" applyFont="1" applyFill="1" applyBorder="1" applyAlignment="1">
      <alignment horizontal="left"/>
    </xf>
    <xf numFmtId="165" fontId="0" fillId="0" borderId="5" xfId="0" applyNumberFormat="1" applyBorder="1" applyAlignment="1">
      <alignment horizontal="left"/>
    </xf>
    <xf numFmtId="169" fontId="0" fillId="0" borderId="0" xfId="0" applyNumberFormat="1" applyAlignment="1">
      <alignment horizontal="right"/>
    </xf>
    <xf numFmtId="169" fontId="0" fillId="2" borderId="0" xfId="0" applyNumberFormat="1" applyFill="1" applyAlignment="1">
      <alignment horizontal="right"/>
    </xf>
    <xf numFmtId="169" fontId="1" fillId="12" borderId="2" xfId="0" applyNumberFormat="1" applyFont="1" applyFill="1" applyBorder="1"/>
    <xf numFmtId="169" fontId="7" fillId="0" borderId="0" xfId="0" applyNumberFormat="1" applyFont="1" applyAlignment="1">
      <alignment horizontal="right"/>
    </xf>
    <xf numFmtId="169" fontId="7" fillId="0" borderId="7" xfId="0" applyNumberFormat="1" applyFont="1" applyBorder="1" applyAlignment="1">
      <alignment horizontal="right"/>
    </xf>
    <xf numFmtId="0" fontId="0" fillId="2" borderId="0" xfId="0" applyFill="1" applyAlignment="1">
      <alignment horizontal="left"/>
    </xf>
    <xf numFmtId="176" fontId="0" fillId="0" borderId="5" xfId="0" applyNumberFormat="1" applyBorder="1"/>
    <xf numFmtId="167" fontId="7" fillId="2" borderId="0" xfId="0" applyNumberFormat="1" applyFont="1" applyFill="1" applyAlignment="1">
      <alignment horizontal="right"/>
    </xf>
    <xf numFmtId="3" fontId="24" fillId="2" borderId="0" xfId="0" applyNumberFormat="1" applyFont="1" applyFill="1" applyAlignment="1">
      <alignment horizontal="right"/>
    </xf>
    <xf numFmtId="3" fontId="25" fillId="2" borderId="0" xfId="0" applyNumberFormat="1" applyFont="1" applyFill="1" applyAlignment="1">
      <alignment horizontal="right"/>
    </xf>
    <xf numFmtId="0" fontId="7" fillId="2" borderId="0" xfId="0" applyFont="1" applyFill="1" applyAlignment="1">
      <alignment horizontal="right"/>
    </xf>
    <xf numFmtId="168" fontId="7" fillId="2" borderId="0" xfId="0" applyNumberFormat="1" applyFont="1" applyFill="1"/>
    <xf numFmtId="4" fontId="7" fillId="2" borderId="0" xfId="0" applyNumberFormat="1" applyFont="1" applyFill="1"/>
    <xf numFmtId="176" fontId="7" fillId="2" borderId="5" xfId="0" applyNumberFormat="1" applyFont="1" applyFill="1" applyBorder="1"/>
    <xf numFmtId="4" fontId="7" fillId="2" borderId="0" xfId="0" applyNumberFormat="1" applyFont="1" applyFill="1" applyAlignment="1">
      <alignment horizontal="right"/>
    </xf>
    <xf numFmtId="3" fontId="7" fillId="2" borderId="5" xfId="0" applyNumberFormat="1" applyFont="1" applyFill="1" applyBorder="1"/>
    <xf numFmtId="2" fontId="0" fillId="9" borderId="5" xfId="0" applyNumberFormat="1" applyFill="1" applyBorder="1"/>
    <xf numFmtId="4" fontId="0" fillId="9" borderId="5" xfId="0" applyNumberFormat="1" applyFill="1" applyBorder="1" applyAlignment="1">
      <alignment horizontal="right"/>
    </xf>
    <xf numFmtId="2" fontId="0" fillId="9" borderId="5" xfId="0" applyNumberFormat="1" applyFill="1" applyBorder="1" applyAlignment="1">
      <alignment horizontal="right"/>
    </xf>
    <xf numFmtId="165" fontId="0" fillId="9" borderId="5" xfId="0" applyNumberFormat="1" applyFill="1" applyBorder="1" applyAlignment="1">
      <alignment horizontal="right"/>
    </xf>
    <xf numFmtId="2" fontId="0" fillId="9" borderId="8" xfId="0" applyNumberFormat="1" applyFill="1" applyBorder="1" applyAlignment="1">
      <alignment horizontal="right"/>
    </xf>
    <xf numFmtId="1" fontId="0" fillId="12" borderId="9" xfId="0" applyNumberFormat="1" applyFill="1" applyBorder="1" applyAlignment="1">
      <alignment horizontal="right"/>
    </xf>
    <xf numFmtId="0" fontId="0" fillId="12" borderId="9" xfId="0" applyFill="1" applyBorder="1" applyAlignment="1">
      <alignment horizontal="right"/>
    </xf>
    <xf numFmtId="3" fontId="0" fillId="12" borderId="9" xfId="0" applyNumberFormat="1" applyFill="1" applyBorder="1" applyAlignment="1">
      <alignment horizontal="left"/>
    </xf>
    <xf numFmtId="9" fontId="0" fillId="12" borderId="9" xfId="0" applyNumberFormat="1" applyFill="1" applyBorder="1" applyAlignment="1">
      <alignment horizontal="right"/>
    </xf>
    <xf numFmtId="3" fontId="0" fillId="0" borderId="11" xfId="0" applyNumberFormat="1" applyBorder="1" applyAlignment="1">
      <alignment horizontal="left"/>
    </xf>
    <xf numFmtId="9" fontId="0" fillId="0" borderId="11" xfId="0" applyNumberFormat="1" applyBorder="1" applyAlignment="1">
      <alignment horizontal="right"/>
    </xf>
    <xf numFmtId="0" fontId="0" fillId="0" borderId="10" xfId="0" applyBorder="1" applyAlignment="1">
      <alignment horizontal="left"/>
    </xf>
    <xf numFmtId="3" fontId="0" fillId="0" borderId="10" xfId="0" applyNumberFormat="1" applyBorder="1" applyAlignment="1">
      <alignment horizontal="left"/>
    </xf>
    <xf numFmtId="9" fontId="0" fillId="0" borderId="10" xfId="0" applyNumberFormat="1" applyBorder="1" applyAlignment="1">
      <alignment horizontal="right"/>
    </xf>
    <xf numFmtId="9" fontId="0" fillId="0" borderId="10" xfId="0" applyNumberFormat="1" applyBorder="1" applyAlignment="1">
      <alignment horizontal="left"/>
    </xf>
    <xf numFmtId="1" fontId="0" fillId="0" borderId="10" xfId="0" applyNumberFormat="1" applyBorder="1" applyAlignment="1">
      <alignment horizontal="left"/>
    </xf>
    <xf numFmtId="0" fontId="0" fillId="12" borderId="9" xfId="0" applyFill="1" applyBorder="1" applyAlignment="1">
      <alignment horizontal="left"/>
    </xf>
    <xf numFmtId="0" fontId="16" fillId="12" borderId="10" xfId="0" applyFont="1" applyFill="1" applyBorder="1"/>
    <xf numFmtId="0" fontId="16" fillId="12" borderId="9" xfId="0" applyFont="1" applyFill="1" applyBorder="1"/>
    <xf numFmtId="0" fontId="0" fillId="0" borderId="10" xfId="0" applyBorder="1" applyAlignment="1">
      <alignment wrapText="1"/>
    </xf>
    <xf numFmtId="0" fontId="6" fillId="0" borderId="10" xfId="1" applyBorder="1"/>
    <xf numFmtId="0" fontId="7" fillId="0" borderId="10" xfId="1" applyFont="1" applyBorder="1" applyAlignment="1">
      <alignment horizontal="right"/>
    </xf>
    <xf numFmtId="0" fontId="0" fillId="0" borderId="10" xfId="0" applyBorder="1" applyAlignment="1">
      <alignment horizontal="left" wrapText="1"/>
    </xf>
    <xf numFmtId="0" fontId="7" fillId="0" borderId="10" xfId="1" applyFont="1" applyFill="1" applyBorder="1"/>
    <xf numFmtId="49" fontId="6" fillId="0" borderId="10" xfId="1" applyNumberFormat="1" applyBorder="1" applyAlignment="1">
      <alignment wrapText="1"/>
    </xf>
    <xf numFmtId="0" fontId="10" fillId="0" borderId="10" xfId="1" applyFont="1" applyFill="1" applyBorder="1"/>
    <xf numFmtId="0" fontId="6" fillId="0" borderId="10" xfId="1" applyFill="1" applyBorder="1"/>
    <xf numFmtId="0" fontId="6" fillId="0" borderId="10" xfId="1" applyBorder="1" applyAlignment="1"/>
    <xf numFmtId="0" fontId="0" fillId="0" borderId="10" xfId="0" applyBorder="1" applyAlignment="1">
      <alignment horizontal="right"/>
    </xf>
    <xf numFmtId="0" fontId="19" fillId="0" borderId="10" xfId="1" applyFont="1" applyFill="1" applyBorder="1"/>
    <xf numFmtId="0" fontId="6" fillId="0" borderId="11" xfId="1" applyFill="1" applyBorder="1"/>
    <xf numFmtId="0" fontId="7" fillId="0" borderId="11" xfId="1" applyFont="1" applyFill="1" applyBorder="1"/>
    <xf numFmtId="9" fontId="0" fillId="0" borderId="10" xfId="0" applyNumberFormat="1" applyBorder="1"/>
    <xf numFmtId="168" fontId="7" fillId="0" borderId="11" xfId="1" applyNumberFormat="1" applyFont="1" applyFill="1" applyBorder="1" applyAlignment="1">
      <alignment horizontal="left"/>
    </xf>
    <xf numFmtId="0" fontId="7" fillId="0" borderId="10" xfId="0" applyFont="1" applyBorder="1"/>
    <xf numFmtId="0" fontId="5" fillId="0" borderId="7" xfId="0" applyFont="1" applyBorder="1"/>
    <xf numFmtId="0" fontId="7" fillId="14" borderId="0" xfId="0" applyFont="1" applyFill="1" applyAlignment="1">
      <alignment horizontal="left"/>
    </xf>
    <xf numFmtId="0" fontId="0" fillId="20" borderId="10" xfId="0" applyFill="1" applyBorder="1"/>
    <xf numFmtId="168" fontId="7" fillId="20" borderId="10" xfId="1" applyNumberFormat="1" applyFont="1" applyFill="1" applyBorder="1" applyAlignment="1">
      <alignment horizontal="left"/>
    </xf>
    <xf numFmtId="168" fontId="7" fillId="21" borderId="10" xfId="1" applyNumberFormat="1" applyFont="1" applyFill="1" applyBorder="1" applyAlignment="1">
      <alignment horizontal="left"/>
    </xf>
    <xf numFmtId="0" fontId="7" fillId="20" borderId="10" xfId="0" applyFont="1" applyFill="1" applyBorder="1"/>
    <xf numFmtId="0" fontId="7" fillId="20" borderId="0" xfId="0" applyFont="1" applyFill="1" applyAlignment="1">
      <alignment horizontal="left"/>
    </xf>
    <xf numFmtId="168" fontId="7" fillId="2" borderId="0" xfId="1" applyNumberFormat="1" applyFont="1" applyFill="1" applyBorder="1" applyAlignment="1">
      <alignment horizontal="left"/>
    </xf>
    <xf numFmtId="0" fontId="10" fillId="0" borderId="0" xfId="1" applyFont="1"/>
    <xf numFmtId="168" fontId="7" fillId="2" borderId="7" xfId="1" applyNumberFormat="1" applyFont="1" applyFill="1" applyBorder="1" applyAlignment="1">
      <alignment horizontal="left"/>
    </xf>
    <xf numFmtId="168" fontId="6" fillId="2" borderId="0" xfId="1" applyNumberFormat="1" applyFill="1" applyBorder="1" applyAlignment="1">
      <alignment horizontal="left"/>
    </xf>
    <xf numFmtId="168" fontId="19" fillId="2" borderId="0" xfId="1" applyNumberFormat="1" applyFont="1" applyFill="1" applyBorder="1" applyAlignment="1">
      <alignment horizontal="left"/>
    </xf>
    <xf numFmtId="0" fontId="0" fillId="13" borderId="7" xfId="0" applyFill="1" applyBorder="1"/>
    <xf numFmtId="168" fontId="7" fillId="0" borderId="10" xfId="1" applyNumberFormat="1" applyFont="1" applyFill="1" applyBorder="1" applyAlignment="1">
      <alignment horizontal="left" wrapText="1"/>
    </xf>
    <xf numFmtId="0" fontId="7" fillId="14" borderId="10" xfId="0" applyFont="1" applyFill="1" applyBorder="1" applyAlignment="1">
      <alignment horizontal="left"/>
    </xf>
    <xf numFmtId="0" fontId="1" fillId="13" borderId="6" xfId="0" applyFont="1" applyFill="1" applyBorder="1"/>
    <xf numFmtId="4" fontId="10" fillId="14" borderId="0" xfId="1" applyNumberFormat="1" applyFont="1" applyFill="1"/>
    <xf numFmtId="0" fontId="6" fillId="7" borderId="0" xfId="1" applyFill="1"/>
    <xf numFmtId="0" fontId="1" fillId="0" borderId="2" xfId="0" applyFont="1" applyBorder="1"/>
    <xf numFmtId="0" fontId="27" fillId="13" borderId="15" xfId="0" applyFont="1" applyFill="1" applyBorder="1"/>
    <xf numFmtId="0" fontId="0" fillId="13" borderId="16" xfId="0" applyFill="1" applyBorder="1"/>
    <xf numFmtId="0" fontId="0" fillId="13" borderId="17" xfId="0" applyFill="1" applyBorder="1"/>
    <xf numFmtId="0" fontId="1" fillId="13" borderId="9" xfId="0" applyFont="1" applyFill="1" applyBorder="1"/>
    <xf numFmtId="0" fontId="1" fillId="13" borderId="10" xfId="0" applyFont="1" applyFill="1" applyBorder="1"/>
    <xf numFmtId="0" fontId="1" fillId="13" borderId="11" xfId="0" applyFont="1" applyFill="1" applyBorder="1"/>
    <xf numFmtId="169" fontId="0" fillId="12" borderId="1" xfId="0" applyNumberFormat="1" applyFill="1" applyBorder="1" applyAlignment="1">
      <alignment horizontal="left"/>
    </xf>
    <xf numFmtId="0" fontId="16" fillId="12" borderId="1" xfId="0" applyFont="1" applyFill="1" applyBorder="1" applyAlignment="1">
      <alignment horizontal="left"/>
    </xf>
    <xf numFmtId="4" fontId="0" fillId="0" borderId="4" xfId="0" applyNumberFormat="1" applyBorder="1" applyAlignment="1">
      <alignment horizontal="left"/>
    </xf>
    <xf numFmtId="0" fontId="0" fillId="0" borderId="4" xfId="0" applyBorder="1" applyAlignment="1">
      <alignment horizontal="left" wrapText="1"/>
    </xf>
    <xf numFmtId="0" fontId="6" fillId="0" borderId="4" xfId="1" applyBorder="1"/>
    <xf numFmtId="168" fontId="6" fillId="4" borderId="0" xfId="1" applyNumberFormat="1" applyFill="1" applyBorder="1" applyAlignment="1">
      <alignment horizontal="left"/>
    </xf>
    <xf numFmtId="0" fontId="6" fillId="4" borderId="0" xfId="1" applyFill="1"/>
    <xf numFmtId="0" fontId="1" fillId="4" borderId="0" xfId="0" applyFont="1" applyFill="1"/>
    <xf numFmtId="0" fontId="1" fillId="4" borderId="7" xfId="0" applyFont="1" applyFill="1" applyBorder="1"/>
    <xf numFmtId="0" fontId="0" fillId="8" borderId="16" xfId="0" applyFill="1" applyBorder="1"/>
    <xf numFmtId="0" fontId="0" fillId="8" borderId="17" xfId="0" applyFill="1" applyBorder="1"/>
    <xf numFmtId="0" fontId="1" fillId="8" borderId="9" xfId="0" applyFont="1" applyFill="1" applyBorder="1"/>
    <xf numFmtId="0" fontId="1" fillId="8" borderId="1" xfId="0" applyFont="1" applyFill="1" applyBorder="1"/>
    <xf numFmtId="0" fontId="1" fillId="8" borderId="3" xfId="0" applyFont="1" applyFill="1" applyBorder="1"/>
    <xf numFmtId="0" fontId="1" fillId="8" borderId="10" xfId="0" applyFont="1" applyFill="1" applyBorder="1"/>
    <xf numFmtId="0" fontId="1" fillId="8" borderId="4" xfId="0" applyFont="1" applyFill="1" applyBorder="1"/>
    <xf numFmtId="0" fontId="1" fillId="8" borderId="5" xfId="0" applyFont="1" applyFill="1" applyBorder="1"/>
    <xf numFmtId="0" fontId="1" fillId="8" borderId="11" xfId="0" applyFont="1" applyFill="1" applyBorder="1"/>
    <xf numFmtId="0" fontId="1" fillId="8" borderId="6" xfId="0" applyFont="1" applyFill="1" applyBorder="1"/>
    <xf numFmtId="0" fontId="1" fillId="8" borderId="8" xfId="0" applyFont="1" applyFill="1" applyBorder="1"/>
    <xf numFmtId="0" fontId="27" fillId="8" borderId="16" xfId="0" applyFont="1" applyFill="1" applyBorder="1"/>
    <xf numFmtId="0" fontId="27" fillId="13" borderId="16" xfId="0" applyFont="1" applyFill="1" applyBorder="1"/>
    <xf numFmtId="0" fontId="27" fillId="22" borderId="15" xfId="0" applyFont="1" applyFill="1" applyBorder="1"/>
    <xf numFmtId="0" fontId="0" fillId="22" borderId="16" xfId="0" applyFill="1" applyBorder="1"/>
    <xf numFmtId="0" fontId="1" fillId="22" borderId="9" xfId="0" applyFont="1" applyFill="1" applyBorder="1"/>
    <xf numFmtId="0" fontId="1" fillId="22" borderId="10" xfId="0" applyFont="1" applyFill="1" applyBorder="1"/>
    <xf numFmtId="0" fontId="1" fillId="22" borderId="11" xfId="0" applyFont="1" applyFill="1" applyBorder="1"/>
    <xf numFmtId="0" fontId="5" fillId="4" borderId="15" xfId="0" applyFont="1" applyFill="1" applyBorder="1"/>
    <xf numFmtId="0" fontId="5" fillId="4" borderId="16" xfId="0" applyFont="1" applyFill="1" applyBorder="1"/>
    <xf numFmtId="0" fontId="1" fillId="4" borderId="1" xfId="0" applyFont="1" applyFill="1" applyBorder="1"/>
    <xf numFmtId="0" fontId="1" fillId="4" borderId="2" xfId="0" applyFont="1" applyFill="1" applyBorder="1"/>
    <xf numFmtId="1" fontId="6" fillId="12" borderId="9" xfId="1" applyNumberFormat="1" applyFill="1" applyBorder="1" applyAlignment="1">
      <alignment horizontal="left"/>
    </xf>
    <xf numFmtId="0" fontId="0" fillId="22" borderId="17" xfId="0" applyFill="1" applyBorder="1"/>
    <xf numFmtId="0" fontId="27" fillId="13" borderId="17" xfId="0" applyFont="1" applyFill="1" applyBorder="1"/>
    <xf numFmtId="0" fontId="1" fillId="13" borderId="3" xfId="0" applyFont="1" applyFill="1" applyBorder="1"/>
    <xf numFmtId="0" fontId="1" fillId="13" borderId="5" xfId="0" applyFont="1" applyFill="1" applyBorder="1"/>
    <xf numFmtId="0" fontId="1" fillId="13" borderId="8" xfId="0" applyFont="1" applyFill="1" applyBorder="1"/>
    <xf numFmtId="0" fontId="1" fillId="0" borderId="10" xfId="0" applyFont="1" applyBorder="1" applyAlignment="1">
      <alignment horizontal="left"/>
    </xf>
    <xf numFmtId="1" fontId="1" fillId="0" borderId="10" xfId="0" applyNumberFormat="1" applyFont="1" applyBorder="1" applyAlignment="1">
      <alignment horizontal="left"/>
    </xf>
    <xf numFmtId="1" fontId="0" fillId="0" borderId="11" xfId="0" applyNumberFormat="1" applyBorder="1" applyAlignment="1">
      <alignment horizontal="left"/>
    </xf>
    <xf numFmtId="9" fontId="0" fillId="0" borderId="11" xfId="0" applyNumberFormat="1" applyBorder="1" applyAlignment="1">
      <alignment horizontal="left"/>
    </xf>
    <xf numFmtId="4" fontId="0" fillId="0" borderId="6" xfId="0" applyNumberFormat="1" applyBorder="1" applyAlignment="1">
      <alignment horizontal="left"/>
    </xf>
    <xf numFmtId="0" fontId="0" fillId="0" borderId="8" xfId="0" applyBorder="1"/>
    <xf numFmtId="1" fontId="6" fillId="0" borderId="7" xfId="1" applyNumberFormat="1" applyBorder="1" applyAlignment="1">
      <alignment horizontal="left"/>
    </xf>
    <xf numFmtId="0" fontId="6" fillId="0" borderId="11" xfId="1" applyBorder="1" applyAlignment="1">
      <alignment horizontal="left"/>
    </xf>
    <xf numFmtId="1" fontId="6" fillId="0" borderId="11" xfId="1" applyNumberFormat="1" applyBorder="1" applyAlignment="1">
      <alignment horizontal="left"/>
    </xf>
    <xf numFmtId="0" fontId="0" fillId="12" borderId="9" xfId="0" applyFill="1" applyBorder="1"/>
    <xf numFmtId="0" fontId="1" fillId="0" borderId="10" xfId="0" applyFont="1" applyBorder="1"/>
    <xf numFmtId="0" fontId="28" fillId="0" borderId="0" xfId="0" applyFont="1"/>
    <xf numFmtId="9" fontId="0" fillId="2" borderId="4" xfId="0" applyNumberFormat="1" applyFill="1" applyBorder="1"/>
    <xf numFmtId="168" fontId="7" fillId="2" borderId="4" xfId="1" applyNumberFormat="1" applyFont="1" applyFill="1" applyBorder="1" applyAlignment="1">
      <alignment horizontal="left"/>
    </xf>
    <xf numFmtId="168" fontId="7" fillId="2" borderId="6" xfId="1" applyNumberFormat="1" applyFont="1" applyFill="1" applyBorder="1" applyAlignment="1">
      <alignment horizontal="left"/>
    </xf>
    <xf numFmtId="0" fontId="0" fillId="2" borderId="4" xfId="0" applyFill="1" applyBorder="1" applyAlignment="1">
      <alignment horizontal="left"/>
    </xf>
    <xf numFmtId="0" fontId="7" fillId="2" borderId="4" xfId="0" applyFont="1" applyFill="1" applyBorder="1" applyAlignment="1">
      <alignment horizontal="left"/>
    </xf>
    <xf numFmtId="0" fontId="7" fillId="20" borderId="11" xfId="0" applyFont="1" applyFill="1" applyBorder="1"/>
    <xf numFmtId="0" fontId="7" fillId="20" borderId="11" xfId="0" applyFont="1" applyFill="1" applyBorder="1" applyAlignment="1">
      <alignment horizontal="left"/>
    </xf>
    <xf numFmtId="0" fontId="7" fillId="20" borderId="7" xfId="0" applyFont="1" applyFill="1" applyBorder="1" applyAlignment="1">
      <alignment horizontal="left"/>
    </xf>
    <xf numFmtId="0" fontId="7" fillId="2" borderId="5" xfId="0" applyFont="1" applyFill="1" applyBorder="1"/>
    <xf numFmtId="0" fontId="7" fillId="21" borderId="0" xfId="0" applyFont="1" applyFill="1"/>
    <xf numFmtId="168" fontId="7" fillId="21" borderId="0" xfId="1" applyNumberFormat="1" applyFont="1" applyFill="1" applyBorder="1" applyAlignment="1">
      <alignment horizontal="left"/>
    </xf>
    <xf numFmtId="0" fontId="0" fillId="21" borderId="5" xfId="0" applyFill="1" applyBorder="1"/>
    <xf numFmtId="0" fontId="0" fillId="21" borderId="5" xfId="0" applyFill="1" applyBorder="1" applyAlignment="1">
      <alignment horizontal="left"/>
    </xf>
    <xf numFmtId="0" fontId="0" fillId="20" borderId="4" xfId="0" applyFill="1" applyBorder="1"/>
    <xf numFmtId="0" fontId="0" fillId="20" borderId="0" xfId="0" applyFill="1"/>
    <xf numFmtId="0" fontId="0" fillId="20" borderId="0" xfId="0" applyFill="1" applyAlignment="1">
      <alignment horizontal="left"/>
    </xf>
    <xf numFmtId="0" fontId="0" fillId="20" borderId="5" xfId="0" applyFill="1" applyBorder="1"/>
    <xf numFmtId="0" fontId="0" fillId="21" borderId="4" xfId="0" applyFill="1" applyBorder="1"/>
    <xf numFmtId="0" fontId="0" fillId="21" borderId="4" xfId="0" applyFill="1" applyBorder="1" applyAlignment="1">
      <alignment horizontal="left"/>
    </xf>
    <xf numFmtId="0" fontId="0" fillId="2" borderId="0" xfId="0" applyFill="1" applyAlignment="1">
      <alignment wrapText="1"/>
    </xf>
    <xf numFmtId="0" fontId="0" fillId="2" borderId="6" xfId="0" applyFill="1" applyBorder="1"/>
    <xf numFmtId="0" fontId="16" fillId="0" borderId="0" xfId="0" applyFont="1"/>
    <xf numFmtId="0" fontId="0" fillId="3" borderId="1" xfId="0" applyFill="1" applyBorder="1"/>
    <xf numFmtId="0" fontId="11" fillId="13" borderId="7" xfId="0" applyFont="1" applyFill="1" applyBorder="1"/>
    <xf numFmtId="168" fontId="7" fillId="13" borderId="7" xfId="1" applyNumberFormat="1" applyFont="1" applyFill="1" applyBorder="1" applyAlignment="1">
      <alignment horizontal="left"/>
    </xf>
    <xf numFmtId="0" fontId="0" fillId="3" borderId="1" xfId="0" applyFill="1" applyBorder="1" applyAlignment="1">
      <alignment wrapText="1"/>
    </xf>
    <xf numFmtId="0" fontId="29" fillId="0" borderId="0" xfId="0" applyFont="1"/>
    <xf numFmtId="0" fontId="29" fillId="13" borderId="2" xfId="0" applyFont="1" applyFill="1" applyBorder="1"/>
    <xf numFmtId="0" fontId="30" fillId="13" borderId="2" xfId="0" applyFont="1" applyFill="1" applyBorder="1"/>
    <xf numFmtId="0" fontId="30" fillId="13" borderId="2" xfId="0" applyFont="1" applyFill="1" applyBorder="1" applyAlignment="1">
      <alignment horizontal="left"/>
    </xf>
    <xf numFmtId="0" fontId="27" fillId="13" borderId="1" xfId="0" applyFont="1" applyFill="1" applyBorder="1"/>
    <xf numFmtId="0" fontId="26" fillId="0" borderId="0" xfId="0" applyFont="1" applyAlignment="1">
      <alignment horizontal="left" vertical="center"/>
    </xf>
    <xf numFmtId="0" fontId="20" fillId="0" borderId="0" xfId="0" applyFont="1" applyAlignment="1">
      <alignment horizontal="left" vertical="center"/>
    </xf>
    <xf numFmtId="168" fontId="7" fillId="13" borderId="2" xfId="1" applyNumberFormat="1" applyFont="1" applyFill="1" applyBorder="1" applyAlignment="1">
      <alignment horizontal="left"/>
    </xf>
    <xf numFmtId="0" fontId="6" fillId="12" borderId="9" xfId="1" applyFill="1" applyBorder="1"/>
    <xf numFmtId="0" fontId="6" fillId="0" borderId="5" xfId="1" applyFill="1" applyBorder="1"/>
    <xf numFmtId="0" fontId="6" fillId="0" borderId="4" xfId="1" applyFill="1" applyBorder="1"/>
    <xf numFmtId="0" fontId="6" fillId="13" borderId="1" xfId="1" applyFill="1" applyBorder="1" applyAlignment="1"/>
    <xf numFmtId="0" fontId="7" fillId="2" borderId="4" xfId="0" applyFont="1" applyFill="1" applyBorder="1"/>
    <xf numFmtId="0" fontId="0" fillId="14" borderId="10" xfId="0" applyFill="1" applyBorder="1" applyAlignment="1">
      <alignment horizontal="left"/>
    </xf>
    <xf numFmtId="168" fontId="7" fillId="12" borderId="9" xfId="1" applyNumberFormat="1" applyFont="1" applyFill="1" applyBorder="1" applyAlignment="1">
      <alignment horizontal="left"/>
    </xf>
    <xf numFmtId="168" fontId="7" fillId="12" borderId="2" xfId="1" applyNumberFormat="1" applyFont="1" applyFill="1" applyBorder="1" applyAlignment="1">
      <alignment horizontal="left"/>
    </xf>
    <xf numFmtId="168" fontId="7" fillId="12" borderId="1" xfId="1" applyNumberFormat="1" applyFont="1" applyFill="1" applyBorder="1" applyAlignment="1">
      <alignment horizontal="left"/>
    </xf>
    <xf numFmtId="0" fontId="7" fillId="12" borderId="2" xfId="0" applyFont="1" applyFill="1" applyBorder="1" applyAlignment="1">
      <alignment horizontal="left"/>
    </xf>
    <xf numFmtId="0" fontId="7" fillId="12" borderId="1" xfId="0" applyFont="1" applyFill="1" applyBorder="1" applyAlignment="1">
      <alignment horizontal="left"/>
    </xf>
    <xf numFmtId="168" fontId="6" fillId="0" borderId="10" xfId="1" applyNumberFormat="1" applyFill="1" applyBorder="1" applyAlignment="1">
      <alignment horizontal="left"/>
    </xf>
    <xf numFmtId="0" fontId="16" fillId="13" borderId="1" xfId="0" applyFont="1" applyFill="1" applyBorder="1"/>
    <xf numFmtId="0" fontId="1" fillId="8" borderId="0" xfId="0" applyFont="1" applyFill="1"/>
    <xf numFmtId="172" fontId="0" fillId="14" borderId="0" xfId="0" applyNumberFormat="1" applyFill="1"/>
    <xf numFmtId="0" fontId="11" fillId="0" borderId="10" xfId="0" applyFont="1" applyBorder="1" applyAlignment="1">
      <alignment horizontal="left"/>
    </xf>
    <xf numFmtId="3" fontId="6" fillId="14" borderId="0" xfId="1" applyNumberFormat="1" applyFill="1" applyBorder="1" applyAlignment="1">
      <alignment horizontal="left"/>
    </xf>
    <xf numFmtId="3" fontId="10" fillId="14" borderId="2" xfId="1" applyNumberFormat="1" applyFont="1" applyFill="1" applyBorder="1" applyAlignment="1">
      <alignment horizontal="right"/>
    </xf>
    <xf numFmtId="3" fontId="10" fillId="14" borderId="0" xfId="1" applyNumberFormat="1" applyFont="1" applyFill="1" applyBorder="1" applyAlignment="1">
      <alignment horizontal="right"/>
    </xf>
    <xf numFmtId="0" fontId="16" fillId="3" borderId="1" xfId="0" applyFont="1" applyFill="1" applyBorder="1"/>
    <xf numFmtId="2" fontId="1" fillId="9" borderId="2" xfId="0" applyNumberFormat="1" applyFont="1" applyFill="1" applyBorder="1" applyAlignment="1">
      <alignment horizontal="right"/>
    </xf>
    <xf numFmtId="2" fontId="1" fillId="9" borderId="7" xfId="0" applyNumberFormat="1" applyFont="1" applyFill="1" applyBorder="1" applyAlignment="1">
      <alignment horizontal="right"/>
    </xf>
    <xf numFmtId="0" fontId="10" fillId="0" borderId="11" xfId="1" applyFont="1" applyFill="1" applyBorder="1"/>
    <xf numFmtId="168" fontId="0" fillId="0" borderId="5" xfId="0" applyNumberFormat="1" applyBorder="1"/>
    <xf numFmtId="10" fontId="1" fillId="9" borderId="3" xfId="0" applyNumberFormat="1" applyFont="1" applyFill="1" applyBorder="1" applyAlignment="1">
      <alignment horizontal="right"/>
    </xf>
    <xf numFmtId="4" fontId="10" fillId="14" borderId="5" xfId="1" applyNumberFormat="1" applyFont="1" applyFill="1" applyBorder="1"/>
    <xf numFmtId="3" fontId="1" fillId="3" borderId="7" xfId="0" applyNumberFormat="1" applyFont="1" applyFill="1" applyBorder="1" applyAlignment="1">
      <alignment horizontal="left"/>
    </xf>
    <xf numFmtId="9" fontId="0" fillId="2" borderId="0" xfId="0" applyNumberFormat="1" applyFill="1" applyAlignment="1">
      <alignment horizontal="right"/>
    </xf>
    <xf numFmtId="173" fontId="0" fillId="14" borderId="0" xfId="0" applyNumberFormat="1" applyFill="1" applyAlignment="1">
      <alignment horizontal="right"/>
    </xf>
    <xf numFmtId="3" fontId="1" fillId="3" borderId="5" xfId="0" applyNumberFormat="1" applyFont="1" applyFill="1" applyBorder="1" applyAlignment="1">
      <alignment horizontal="left"/>
    </xf>
    <xf numFmtId="3" fontId="0" fillId="8" borderId="0" xfId="0" applyNumberFormat="1" applyFill="1" applyAlignment="1">
      <alignment horizontal="right"/>
    </xf>
    <xf numFmtId="9" fontId="0" fillId="8" borderId="0" xfId="0" applyNumberFormat="1" applyFill="1" applyAlignment="1">
      <alignment horizontal="right"/>
    </xf>
    <xf numFmtId="173" fontId="0" fillId="8" borderId="0" xfId="0" applyNumberFormat="1" applyFill="1" applyAlignment="1">
      <alignment horizontal="right"/>
    </xf>
    <xf numFmtId="168" fontId="0" fillId="8" borderId="0" xfId="0" applyNumberFormat="1" applyFill="1" applyAlignment="1">
      <alignment horizontal="right"/>
    </xf>
    <xf numFmtId="10" fontId="0" fillId="8" borderId="0" xfId="0" applyNumberFormat="1" applyFill="1" applyAlignment="1">
      <alignment horizontal="right"/>
    </xf>
    <xf numFmtId="169" fontId="1" fillId="3" borderId="4" xfId="0" applyNumberFormat="1" applyFont="1" applyFill="1" applyBorder="1" applyAlignment="1">
      <alignment horizontal="right"/>
    </xf>
    <xf numFmtId="166" fontId="1" fillId="9" borderId="1" xfId="0" applyNumberFormat="1" applyFont="1" applyFill="1" applyBorder="1" applyAlignment="1">
      <alignment horizontal="right"/>
    </xf>
    <xf numFmtId="166" fontId="1" fillId="9" borderId="4" xfId="0" applyNumberFormat="1" applyFont="1" applyFill="1" applyBorder="1" applyAlignment="1">
      <alignment horizontal="right"/>
    </xf>
    <xf numFmtId="166" fontId="1" fillId="9" borderId="6" xfId="0" applyNumberFormat="1" applyFont="1" applyFill="1" applyBorder="1" applyAlignment="1">
      <alignment horizontal="right"/>
    </xf>
    <xf numFmtId="168" fontId="0" fillId="14" borderId="4" xfId="0" applyNumberFormat="1" applyFill="1" applyBorder="1"/>
    <xf numFmtId="168" fontId="0" fillId="0" borderId="4" xfId="0" applyNumberFormat="1" applyBorder="1"/>
    <xf numFmtId="168" fontId="0" fillId="2" borderId="4" xfId="0" applyNumberFormat="1" applyFill="1" applyBorder="1"/>
    <xf numFmtId="10" fontId="1" fillId="9" borderId="1" xfId="0" applyNumberFormat="1" applyFont="1" applyFill="1" applyBorder="1" applyAlignment="1">
      <alignment horizontal="right"/>
    </xf>
    <xf numFmtId="10" fontId="1" fillId="9" borderId="4" xfId="0" applyNumberFormat="1" applyFont="1" applyFill="1" applyBorder="1" applyAlignment="1">
      <alignment horizontal="right"/>
    </xf>
    <xf numFmtId="10" fontId="1" fillId="9" borderId="6" xfId="0" applyNumberFormat="1" applyFont="1" applyFill="1" applyBorder="1" applyAlignment="1">
      <alignment horizontal="right"/>
    </xf>
    <xf numFmtId="4" fontId="6" fillId="14" borderId="4" xfId="1" applyNumberFormat="1" applyFill="1" applyBorder="1"/>
    <xf numFmtId="172" fontId="0" fillId="8" borderId="0" xfId="0" applyNumberFormat="1" applyFill="1"/>
    <xf numFmtId="172" fontId="0" fillId="8" borderId="0" xfId="0" applyNumberFormat="1" applyFill="1" applyAlignment="1">
      <alignment horizontal="right"/>
    </xf>
    <xf numFmtId="168" fontId="0" fillId="8" borderId="0" xfId="0" applyNumberFormat="1" applyFill="1"/>
    <xf numFmtId="172" fontId="0" fillId="2" borderId="0" xfId="0" applyNumberFormat="1" applyFill="1" applyAlignment="1">
      <alignment horizontal="right"/>
    </xf>
    <xf numFmtId="166" fontId="0" fillId="8" borderId="0" xfId="0" applyNumberFormat="1" applyFill="1" applyAlignment="1">
      <alignment horizontal="right"/>
    </xf>
    <xf numFmtId="10" fontId="0" fillId="2" borderId="4" xfId="0" applyNumberFormat="1" applyFill="1" applyBorder="1"/>
    <xf numFmtId="4" fontId="6" fillId="14" borderId="0" xfId="1" applyNumberFormat="1" applyFill="1" applyBorder="1"/>
    <xf numFmtId="170" fontId="0" fillId="14" borderId="0" xfId="0" applyNumberFormat="1" applyFill="1"/>
    <xf numFmtId="170" fontId="0" fillId="2" borderId="0" xfId="0" applyNumberFormat="1" applyFill="1"/>
    <xf numFmtId="3" fontId="1" fillId="3" borderId="5" xfId="0" applyNumberFormat="1" applyFont="1" applyFill="1" applyBorder="1" applyAlignment="1">
      <alignment horizontal="right"/>
    </xf>
    <xf numFmtId="10" fontId="1" fillId="9" borderId="5" xfId="0" applyNumberFormat="1" applyFont="1" applyFill="1" applyBorder="1"/>
    <xf numFmtId="3" fontId="0" fillId="9" borderId="3" xfId="0" applyNumberFormat="1" applyFill="1" applyBorder="1" applyAlignment="1">
      <alignment horizontal="right"/>
    </xf>
    <xf numFmtId="3" fontId="0" fillId="9" borderId="5" xfId="0" applyNumberFormat="1" applyFill="1" applyBorder="1" applyAlignment="1">
      <alignment horizontal="right"/>
    </xf>
    <xf numFmtId="10" fontId="0" fillId="9" borderId="5" xfId="0" applyNumberFormat="1" applyFill="1" applyBorder="1" applyAlignment="1">
      <alignment horizontal="right"/>
    </xf>
    <xf numFmtId="10" fontId="0" fillId="9" borderId="8" xfId="0" applyNumberFormat="1" applyFill="1" applyBorder="1" applyAlignment="1">
      <alignment horizontal="right"/>
    </xf>
    <xf numFmtId="4" fontId="10" fillId="14" borderId="0" xfId="1" applyNumberFormat="1" applyFont="1" applyFill="1" applyBorder="1"/>
    <xf numFmtId="168" fontId="0" fillId="14" borderId="5" xfId="0" applyNumberFormat="1" applyFill="1" applyBorder="1" applyAlignment="1">
      <alignment horizontal="right"/>
    </xf>
    <xf numFmtId="168" fontId="0" fillId="14" borderId="5" xfId="0" applyNumberFormat="1" applyFill="1" applyBorder="1"/>
    <xf numFmtId="170" fontId="0" fillId="14" borderId="0" xfId="0" applyNumberFormat="1" applyFill="1" applyAlignment="1">
      <alignment horizontal="right"/>
    </xf>
    <xf numFmtId="3" fontId="6" fillId="12" borderId="0" xfId="1" applyNumberFormat="1" applyFill="1" applyAlignment="1">
      <alignment horizontal="left"/>
    </xf>
    <xf numFmtId="3" fontId="6" fillId="12" borderId="0" xfId="1" applyNumberFormat="1" applyFill="1" applyAlignment="1"/>
    <xf numFmtId="3" fontId="6" fillId="14" borderId="0" xfId="1" applyNumberFormat="1" applyFill="1" applyAlignment="1">
      <alignment horizontal="left"/>
    </xf>
    <xf numFmtId="0" fontId="30" fillId="13" borderId="3" xfId="0" applyFont="1" applyFill="1" applyBorder="1"/>
    <xf numFmtId="168" fontId="7" fillId="13" borderId="8" xfId="1" applyNumberFormat="1" applyFont="1" applyFill="1" applyBorder="1" applyAlignment="1">
      <alignment horizontal="left"/>
    </xf>
    <xf numFmtId="170" fontId="0" fillId="0" borderId="10" xfId="0" applyNumberFormat="1" applyBorder="1" applyAlignment="1">
      <alignment horizontal="right"/>
    </xf>
    <xf numFmtId="170" fontId="0" fillId="2" borderId="4" xfId="0" applyNumberFormat="1" applyFill="1" applyBorder="1"/>
    <xf numFmtId="170" fontId="0" fillId="2" borderId="0" xfId="0" applyNumberFormat="1" applyFill="1" applyAlignment="1">
      <alignment horizontal="right"/>
    </xf>
    <xf numFmtId="170" fontId="0" fillId="8" borderId="0" xfId="0" applyNumberFormat="1" applyFill="1" applyAlignment="1">
      <alignment horizontal="right"/>
    </xf>
    <xf numFmtId="169" fontId="0" fillId="14" borderId="0" xfId="0" applyNumberFormat="1" applyFill="1" applyAlignment="1">
      <alignment horizontal="right"/>
    </xf>
    <xf numFmtId="164" fontId="0" fillId="14" borderId="0" xfId="0" applyNumberFormat="1" applyFill="1" applyAlignment="1">
      <alignment horizontal="right"/>
    </xf>
    <xf numFmtId="164" fontId="0" fillId="8" borderId="0" xfId="0" applyNumberFormat="1" applyFill="1" applyAlignment="1">
      <alignment horizontal="right"/>
    </xf>
    <xf numFmtId="4" fontId="0" fillId="8" borderId="0" xfId="0" applyNumberFormat="1" applyFill="1" applyAlignment="1">
      <alignment horizontal="right"/>
    </xf>
    <xf numFmtId="4" fontId="0" fillId="2" borderId="0" xfId="0" applyNumberFormat="1" applyFill="1" applyAlignment="1">
      <alignment horizontal="right"/>
    </xf>
    <xf numFmtId="172" fontId="0" fillId="14" borderId="0" xfId="0" applyNumberFormat="1" applyFill="1" applyAlignment="1">
      <alignment horizontal="right"/>
    </xf>
    <xf numFmtId="4" fontId="0" fillId="0" borderId="10" xfId="0" applyNumberFormat="1" applyBorder="1" applyAlignment="1">
      <alignment horizontal="right"/>
    </xf>
    <xf numFmtId="4" fontId="0" fillId="2" borderId="4" xfId="0" applyNumberFormat="1" applyFill="1" applyBorder="1"/>
    <xf numFmtId="4" fontId="0" fillId="2" borderId="0" xfId="0" applyNumberFormat="1" applyFill="1"/>
    <xf numFmtId="10" fontId="0" fillId="0" borderId="10" xfId="0" applyNumberFormat="1" applyBorder="1"/>
    <xf numFmtId="0" fontId="6" fillId="20" borderId="10" xfId="1" applyFill="1" applyBorder="1"/>
    <xf numFmtId="1" fontId="1" fillId="0" borderId="0" xfId="0" applyNumberFormat="1" applyFont="1" applyAlignment="1">
      <alignment horizontal="left"/>
    </xf>
    <xf numFmtId="0" fontId="6" fillId="0" borderId="10" xfId="1" applyBorder="1" applyAlignment="1">
      <alignment horizontal="left"/>
    </xf>
    <xf numFmtId="3" fontId="0" fillId="0" borderId="10" xfId="0" applyNumberFormat="1" applyBorder="1"/>
    <xf numFmtId="3" fontId="0" fillId="2" borderId="4" xfId="0" applyNumberFormat="1" applyFill="1" applyBorder="1"/>
    <xf numFmtId="168" fontId="0" fillId="0" borderId="10" xfId="0" applyNumberFormat="1" applyBorder="1"/>
    <xf numFmtId="0" fontId="24" fillId="13" borderId="6" xfId="0" applyFont="1" applyFill="1" applyBorder="1"/>
    <xf numFmtId="0" fontId="31" fillId="0" borderId="0" xfId="1" applyFont="1" applyFill="1"/>
    <xf numFmtId="0" fontId="31" fillId="0" borderId="0" xfId="1" applyFont="1"/>
    <xf numFmtId="0" fontId="7" fillId="12" borderId="2" xfId="1" applyFont="1" applyFill="1" applyBorder="1" applyAlignment="1">
      <alignment horizontal="right"/>
    </xf>
    <xf numFmtId="1" fontId="7" fillId="12" borderId="2" xfId="0" quotePrefix="1" applyNumberFormat="1" applyFont="1" applyFill="1" applyBorder="1" applyAlignment="1">
      <alignment horizontal="right"/>
    </xf>
    <xf numFmtId="1" fontId="7" fillId="12" borderId="2" xfId="0" applyNumberFormat="1" applyFont="1" applyFill="1" applyBorder="1" applyAlignment="1">
      <alignment horizontal="right"/>
    </xf>
    <xf numFmtId="3" fontId="0" fillId="12" borderId="2" xfId="0" applyNumberFormat="1" applyFill="1" applyBorder="1" applyAlignment="1">
      <alignment horizontal="left"/>
    </xf>
    <xf numFmtId="170" fontId="0" fillId="12" borderId="3" xfId="0" applyNumberFormat="1" applyFill="1" applyBorder="1" applyAlignment="1">
      <alignment horizontal="right"/>
    </xf>
    <xf numFmtId="0" fontId="16" fillId="12" borderId="2" xfId="0" applyFont="1" applyFill="1" applyBorder="1" applyAlignment="1">
      <alignment horizontal="right"/>
    </xf>
    <xf numFmtId="3" fontId="16" fillId="12" borderId="2" xfId="0" applyNumberFormat="1" applyFont="1" applyFill="1" applyBorder="1" applyAlignment="1">
      <alignment horizontal="left"/>
    </xf>
    <xf numFmtId="167" fontId="16" fillId="12" borderId="2" xfId="0" applyNumberFormat="1" applyFont="1" applyFill="1" applyBorder="1" applyAlignment="1">
      <alignment horizontal="right"/>
    </xf>
    <xf numFmtId="3" fontId="16" fillId="12" borderId="2" xfId="0" applyNumberFormat="1" applyFont="1" applyFill="1" applyBorder="1" applyAlignment="1">
      <alignment horizontal="right"/>
    </xf>
    <xf numFmtId="3" fontId="16" fillId="12" borderId="2" xfId="0" applyNumberFormat="1" applyFont="1" applyFill="1" applyBorder="1"/>
    <xf numFmtId="168" fontId="16" fillId="12" borderId="2" xfId="0" applyNumberFormat="1" applyFont="1" applyFill="1" applyBorder="1" applyAlignment="1">
      <alignment horizontal="right"/>
    </xf>
    <xf numFmtId="170" fontId="16" fillId="12" borderId="2" xfId="0" applyNumberFormat="1" applyFont="1" applyFill="1" applyBorder="1" applyAlignment="1">
      <alignment horizontal="right"/>
    </xf>
    <xf numFmtId="170" fontId="16" fillId="12" borderId="3" xfId="0" applyNumberFormat="1" applyFont="1" applyFill="1" applyBorder="1" applyAlignment="1">
      <alignment horizontal="right"/>
    </xf>
    <xf numFmtId="2" fontId="6" fillId="9" borderId="0" xfId="1" applyNumberFormat="1" applyFill="1"/>
    <xf numFmtId="4" fontId="0" fillId="8" borderId="0" xfId="0" applyNumberFormat="1" applyFill="1"/>
    <xf numFmtId="9" fontId="0" fillId="8" borderId="0" xfId="0" applyNumberFormat="1" applyFill="1"/>
    <xf numFmtId="168" fontId="1" fillId="0" borderId="0" xfId="0" applyNumberFormat="1" applyFont="1"/>
    <xf numFmtId="0" fontId="7" fillId="13" borderId="8" xfId="0" applyFont="1" applyFill="1" applyBorder="1"/>
    <xf numFmtId="0" fontId="1" fillId="4" borderId="10" xfId="0" applyFont="1" applyFill="1" applyBorder="1"/>
    <xf numFmtId="0" fontId="1" fillId="4" borderId="11" xfId="0" applyFont="1" applyFill="1" applyBorder="1"/>
    <xf numFmtId="0" fontId="6" fillId="0" borderId="4" xfId="1" applyFill="1" applyBorder="1" applyAlignment="1"/>
    <xf numFmtId="0" fontId="15" fillId="0" borderId="0" xfId="0" applyFont="1"/>
    <xf numFmtId="172" fontId="0" fillId="4" borderId="0" xfId="0" applyNumberFormat="1" applyFill="1" applyAlignment="1">
      <alignment horizontal="right"/>
    </xf>
    <xf numFmtId="10" fontId="1" fillId="3" borderId="7" xfId="0" applyNumberFormat="1" applyFont="1" applyFill="1" applyBorder="1" applyAlignment="1">
      <alignment horizontal="right"/>
    </xf>
    <xf numFmtId="170" fontId="0" fillId="4" borderId="0" xfId="0" applyNumberFormat="1" applyFill="1" applyAlignment="1">
      <alignment horizontal="right"/>
    </xf>
    <xf numFmtId="2" fontId="0" fillId="14" borderId="0" xfId="0" applyNumberFormat="1" applyFill="1" applyAlignment="1">
      <alignment horizontal="right"/>
    </xf>
    <xf numFmtId="2" fontId="0" fillId="8" borderId="0" xfId="0" applyNumberFormat="1" applyFill="1" applyAlignment="1">
      <alignment horizontal="right"/>
    </xf>
    <xf numFmtId="169" fontId="0" fillId="2" borderId="4" xfId="0" applyNumberFormat="1" applyFill="1" applyBorder="1"/>
    <xf numFmtId="169" fontId="0" fillId="0" borderId="10" xfId="0" applyNumberFormat="1" applyBorder="1"/>
    <xf numFmtId="167" fontId="0" fillId="0" borderId="10" xfId="0" applyNumberFormat="1" applyBorder="1"/>
    <xf numFmtId="168" fontId="0" fillId="13" borderId="0" xfId="0" applyNumberFormat="1" applyFill="1" applyAlignment="1">
      <alignment horizontal="right"/>
    </xf>
    <xf numFmtId="10" fontId="0" fillId="13" borderId="0" xfId="0" applyNumberFormat="1" applyFill="1" applyAlignment="1">
      <alignment horizontal="right"/>
    </xf>
    <xf numFmtId="0" fontId="0" fillId="13" borderId="6" xfId="0" applyFill="1" applyBorder="1"/>
    <xf numFmtId="0" fontId="0" fillId="12" borderId="1" xfId="0" applyFill="1" applyBorder="1"/>
    <xf numFmtId="0" fontId="0" fillId="12" borderId="1" xfId="0" applyFill="1" applyBorder="1" applyAlignment="1">
      <alignment horizontal="left"/>
    </xf>
    <xf numFmtId="0" fontId="0" fillId="12" borderId="3" xfId="0" applyFill="1" applyBorder="1" applyAlignment="1">
      <alignment horizontal="left"/>
    </xf>
    <xf numFmtId="0" fontId="7" fillId="13" borderId="1" xfId="0" applyFont="1" applyFill="1" applyBorder="1"/>
    <xf numFmtId="0" fontId="11" fillId="13" borderId="2" xfId="0" applyFont="1" applyFill="1" applyBorder="1"/>
    <xf numFmtId="168" fontId="7" fillId="13" borderId="3" xfId="1" applyNumberFormat="1" applyFont="1" applyFill="1" applyBorder="1" applyAlignment="1">
      <alignment horizontal="left"/>
    </xf>
    <xf numFmtId="0" fontId="0" fillId="4" borderId="1" xfId="0" applyFill="1" applyBorder="1"/>
    <xf numFmtId="0" fontId="0" fillId="4" borderId="2" xfId="0" applyFill="1" applyBorder="1"/>
    <xf numFmtId="0" fontId="7" fillId="4" borderId="2" xfId="0" applyFont="1" applyFill="1" applyBorder="1"/>
    <xf numFmtId="0" fontId="7" fillId="4" borderId="2" xfId="0" applyFont="1" applyFill="1" applyBorder="1" applyAlignment="1">
      <alignment horizontal="left"/>
    </xf>
    <xf numFmtId="0" fontId="7" fillId="4" borderId="3" xfId="0" applyFont="1" applyFill="1" applyBorder="1"/>
    <xf numFmtId="0" fontId="7" fillId="4" borderId="7" xfId="0" applyFont="1" applyFill="1" applyBorder="1"/>
    <xf numFmtId="0" fontId="7" fillId="4" borderId="7" xfId="0" applyFont="1" applyFill="1" applyBorder="1" applyAlignment="1">
      <alignment horizontal="left"/>
    </xf>
    <xf numFmtId="0" fontId="7" fillId="4" borderId="8" xfId="0" applyFont="1" applyFill="1" applyBorder="1"/>
    <xf numFmtId="0" fontId="6" fillId="4" borderId="2" xfId="1" applyFill="1" applyBorder="1"/>
    <xf numFmtId="0" fontId="7" fillId="4" borderId="6" xfId="0" applyFont="1" applyFill="1" applyBorder="1"/>
    <xf numFmtId="0" fontId="11" fillId="4" borderId="7" xfId="0" applyFont="1" applyFill="1" applyBorder="1"/>
    <xf numFmtId="168" fontId="7" fillId="4" borderId="7" xfId="1" applyNumberFormat="1" applyFont="1" applyFill="1" applyBorder="1" applyAlignment="1">
      <alignment horizontal="left"/>
    </xf>
    <xf numFmtId="168" fontId="7" fillId="4" borderId="8" xfId="1" applyNumberFormat="1" applyFont="1" applyFill="1" applyBorder="1" applyAlignment="1">
      <alignment horizontal="left"/>
    </xf>
    <xf numFmtId="9" fontId="0" fillId="2" borderId="0" xfId="0" applyNumberFormat="1" applyFill="1" applyAlignment="1">
      <alignment horizontal="left"/>
    </xf>
    <xf numFmtId="9" fontId="0" fillId="0" borderId="4" xfId="0" applyNumberFormat="1" applyBorder="1" applyAlignment="1">
      <alignment horizontal="left"/>
    </xf>
    <xf numFmtId="0" fontId="7" fillId="2" borderId="4" xfId="1" applyFont="1" applyFill="1" applyBorder="1"/>
    <xf numFmtId="0" fontId="7" fillId="2" borderId="5" xfId="1" applyFont="1" applyFill="1" applyBorder="1"/>
    <xf numFmtId="168" fontId="11" fillId="0" borderId="0" xfId="1" applyNumberFormat="1" applyFont="1" applyFill="1" applyBorder="1" applyAlignment="1">
      <alignment horizontal="left"/>
    </xf>
    <xf numFmtId="168" fontId="1" fillId="0" borderId="10" xfId="0" applyNumberFormat="1" applyFont="1" applyBorder="1" applyAlignment="1">
      <alignment horizontal="right"/>
    </xf>
    <xf numFmtId="168" fontId="1" fillId="0" borderId="0" xfId="0" applyNumberFormat="1" applyFont="1" applyAlignment="1">
      <alignment horizontal="right"/>
    </xf>
    <xf numFmtId="168" fontId="1" fillId="2" borderId="4" xfId="0" applyNumberFormat="1" applyFont="1" applyFill="1" applyBorder="1"/>
    <xf numFmtId="168" fontId="1" fillId="2" borderId="0" xfId="0" applyNumberFormat="1" applyFont="1" applyFill="1"/>
    <xf numFmtId="173" fontId="0" fillId="0" borderId="10" xfId="0" applyNumberFormat="1" applyBorder="1"/>
    <xf numFmtId="173" fontId="0" fillId="2" borderId="4" xfId="0" applyNumberFormat="1" applyFill="1" applyBorder="1"/>
    <xf numFmtId="0" fontId="32" fillId="12" borderId="9" xfId="0" applyFont="1" applyFill="1" applyBorder="1"/>
    <xf numFmtId="0" fontId="32" fillId="12" borderId="2" xfId="0" applyFont="1" applyFill="1" applyBorder="1"/>
    <xf numFmtId="0" fontId="32" fillId="12" borderId="1" xfId="0" applyFont="1" applyFill="1" applyBorder="1"/>
    <xf numFmtId="0" fontId="32" fillId="12" borderId="3" xfId="0" applyFont="1" applyFill="1" applyBorder="1"/>
    <xf numFmtId="0" fontId="1" fillId="2" borderId="10" xfId="0" applyFont="1" applyFill="1" applyBorder="1"/>
    <xf numFmtId="168" fontId="7" fillId="2" borderId="10" xfId="1" applyNumberFormat="1" applyFont="1" applyFill="1" applyBorder="1" applyAlignment="1">
      <alignment horizontal="left"/>
    </xf>
    <xf numFmtId="0" fontId="0" fillId="2" borderId="10" xfId="0" applyFill="1" applyBorder="1"/>
    <xf numFmtId="0" fontId="0" fillId="2" borderId="10" xfId="0" applyFill="1" applyBorder="1" applyAlignment="1">
      <alignment wrapText="1"/>
    </xf>
    <xf numFmtId="0" fontId="7" fillId="2" borderId="11" xfId="1" applyFont="1" applyFill="1" applyBorder="1"/>
    <xf numFmtId="0" fontId="10" fillId="2" borderId="10" xfId="1" applyFont="1" applyFill="1" applyBorder="1"/>
    <xf numFmtId="168" fontId="7" fillId="20" borderId="0" xfId="1" applyNumberFormat="1" applyFont="1" applyFill="1" applyBorder="1" applyAlignment="1">
      <alignment horizontal="left"/>
    </xf>
    <xf numFmtId="0" fontId="0" fillId="12" borderId="10" xfId="0" applyFill="1" applyBorder="1"/>
    <xf numFmtId="0" fontId="6" fillId="12" borderId="4" xfId="1" applyFill="1" applyBorder="1"/>
    <xf numFmtId="0" fontId="6" fillId="12" borderId="5" xfId="1" applyFill="1" applyBorder="1"/>
    <xf numFmtId="0" fontId="7" fillId="20" borderId="4" xfId="0" applyFont="1" applyFill="1" applyBorder="1" applyAlignment="1">
      <alignment horizontal="left"/>
    </xf>
    <xf numFmtId="0" fontId="7" fillId="21" borderId="5" xfId="0" applyFont="1" applyFill="1" applyBorder="1" applyAlignment="1">
      <alignment horizontal="left"/>
    </xf>
    <xf numFmtId="0" fontId="0" fillId="14" borderId="10" xfId="0" applyFill="1" applyBorder="1"/>
    <xf numFmtId="168" fontId="7" fillId="14" borderId="10" xfId="1" applyNumberFormat="1" applyFont="1" applyFill="1" applyBorder="1" applyAlignment="1">
      <alignment horizontal="left"/>
    </xf>
    <xf numFmtId="168" fontId="6" fillId="0" borderId="10" xfId="1" applyNumberFormat="1" applyFill="1" applyBorder="1" applyAlignment="1">
      <alignment horizontal="left" wrapText="1"/>
    </xf>
    <xf numFmtId="0" fontId="32" fillId="12" borderId="10" xfId="0" applyFont="1" applyFill="1" applyBorder="1"/>
    <xf numFmtId="0" fontId="33" fillId="12" borderId="4" xfId="0" applyFont="1" applyFill="1" applyBorder="1"/>
    <xf numFmtId="0" fontId="32" fillId="12" borderId="4" xfId="0" applyFont="1" applyFill="1" applyBorder="1"/>
    <xf numFmtId="0" fontId="32" fillId="12" borderId="5" xfId="0" applyFont="1" applyFill="1" applyBorder="1"/>
    <xf numFmtId="0" fontId="11" fillId="13" borderId="6" xfId="0" applyFont="1" applyFill="1" applyBorder="1"/>
    <xf numFmtId="0" fontId="1" fillId="22" borderId="1" xfId="0" applyFont="1" applyFill="1" applyBorder="1"/>
    <xf numFmtId="0" fontId="1" fillId="22" borderId="3" xfId="0" applyFont="1" applyFill="1" applyBorder="1"/>
    <xf numFmtId="0" fontId="1" fillId="22" borderId="4" xfId="0" applyFont="1" applyFill="1" applyBorder="1"/>
    <xf numFmtId="0" fontId="1" fillId="22" borderId="5" xfId="0" applyFont="1" applyFill="1" applyBorder="1"/>
    <xf numFmtId="0" fontId="1" fillId="22" borderId="6" xfId="0" applyFont="1" applyFill="1" applyBorder="1"/>
    <xf numFmtId="0" fontId="1" fillId="22" borderId="8" xfId="0" applyFont="1" applyFill="1" applyBorder="1"/>
    <xf numFmtId="0" fontId="1" fillId="0" borderId="4" xfId="0" applyFont="1" applyBorder="1" applyAlignment="1">
      <alignment horizontal="left"/>
    </xf>
    <xf numFmtId="0" fontId="0" fillId="0" borderId="6" xfId="0" applyBorder="1" applyAlignment="1">
      <alignment horizontal="left"/>
    </xf>
    <xf numFmtId="0" fontId="0" fillId="0" borderId="8" xfId="0" applyBorder="1" applyAlignment="1">
      <alignment horizontal="left"/>
    </xf>
    <xf numFmtId="0" fontId="1" fillId="13" borderId="1" xfId="0" applyFont="1" applyFill="1" applyBorder="1"/>
    <xf numFmtId="0" fontId="1" fillId="13" borderId="2" xfId="0" applyFont="1" applyFill="1" applyBorder="1"/>
    <xf numFmtId="0" fontId="1" fillId="13" borderId="4" xfId="0" applyFont="1" applyFill="1" applyBorder="1"/>
    <xf numFmtId="0" fontId="1" fillId="13" borderId="0" xfId="0" applyFont="1" applyFill="1"/>
    <xf numFmtId="0" fontId="6" fillId="13" borderId="4" xfId="1" applyFill="1" applyBorder="1"/>
    <xf numFmtId="0" fontId="1" fillId="13" borderId="7" xfId="0" applyFont="1" applyFill="1" applyBorder="1"/>
    <xf numFmtId="1" fontId="6" fillId="12" borderId="1" xfId="1" applyNumberFormat="1" applyFill="1" applyBorder="1" applyAlignment="1"/>
    <xf numFmtId="1" fontId="0" fillId="12" borderId="3" xfId="0" applyNumberFormat="1" applyFill="1" applyBorder="1"/>
    <xf numFmtId="1" fontId="1" fillId="0" borderId="4" xfId="0" applyNumberFormat="1" applyFont="1" applyBorder="1" applyAlignment="1">
      <alignment horizontal="left"/>
    </xf>
    <xf numFmtId="1" fontId="0" fillId="0" borderId="5" xfId="0" applyNumberFormat="1" applyBorder="1" applyAlignment="1">
      <alignment horizontal="left"/>
    </xf>
    <xf numFmtId="1" fontId="11" fillId="0" borderId="6" xfId="1" applyNumberFormat="1" applyFont="1" applyFill="1" applyBorder="1" applyAlignment="1">
      <alignment horizontal="left"/>
    </xf>
    <xf numFmtId="1" fontId="1" fillId="0" borderId="7" xfId="0" applyNumberFormat="1" applyFont="1" applyBorder="1" applyAlignment="1">
      <alignment horizontal="left"/>
    </xf>
    <xf numFmtId="1" fontId="0" fillId="0" borderId="7" xfId="0" applyNumberFormat="1" applyBorder="1" applyAlignment="1">
      <alignment horizontal="left"/>
    </xf>
    <xf numFmtId="1" fontId="0" fillId="0" borderId="8" xfId="0" applyNumberFormat="1" applyBorder="1" applyAlignment="1">
      <alignment horizontal="left"/>
    </xf>
    <xf numFmtId="0" fontId="0" fillId="12" borderId="4" xfId="0" applyFill="1" applyBorder="1"/>
    <xf numFmtId="0" fontId="10" fillId="12" borderId="0" xfId="1" applyFont="1" applyFill="1" applyBorder="1" applyAlignment="1">
      <alignment horizontal="right"/>
    </xf>
    <xf numFmtId="1" fontId="0" fillId="0" borderId="4" xfId="0" applyNumberFormat="1" applyBorder="1" applyAlignment="1">
      <alignment horizontal="left"/>
    </xf>
    <xf numFmtId="1" fontId="0" fillId="0" borderId="5" xfId="0" applyNumberFormat="1" applyBorder="1" applyAlignment="1">
      <alignment horizontal="right"/>
    </xf>
    <xf numFmtId="1" fontId="0" fillId="0" borderId="4" xfId="0" applyNumberFormat="1" applyBorder="1" applyAlignment="1">
      <alignment horizontal="right"/>
    </xf>
    <xf numFmtId="1" fontId="16" fillId="12" borderId="1" xfId="0" applyNumberFormat="1" applyFont="1" applyFill="1" applyBorder="1" applyAlignment="1">
      <alignment horizontal="right"/>
    </xf>
    <xf numFmtId="1" fontId="16" fillId="12" borderId="2" xfId="0" applyNumberFormat="1" applyFont="1" applyFill="1" applyBorder="1" applyAlignment="1">
      <alignment horizontal="right"/>
    </xf>
    <xf numFmtId="1" fontId="16" fillId="12" borderId="3" xfId="0" applyNumberFormat="1" applyFont="1" applyFill="1" applyBorder="1" applyAlignment="1">
      <alignment horizontal="right"/>
    </xf>
    <xf numFmtId="49" fontId="0" fillId="0" borderId="4" xfId="0" applyNumberFormat="1" applyBorder="1" applyAlignment="1">
      <alignment horizontal="left"/>
    </xf>
    <xf numFmtId="1" fontId="1" fillId="12" borderId="1" xfId="0" applyNumberFormat="1" applyFont="1" applyFill="1" applyBorder="1" applyAlignment="1">
      <alignment horizontal="right"/>
    </xf>
    <xf numFmtId="1" fontId="1" fillId="12" borderId="2" xfId="0" applyNumberFormat="1" applyFont="1" applyFill="1" applyBorder="1" applyAlignment="1">
      <alignment horizontal="right"/>
    </xf>
    <xf numFmtId="1" fontId="1" fillId="12" borderId="3" xfId="0" applyNumberFormat="1" applyFont="1" applyFill="1" applyBorder="1" applyAlignment="1">
      <alignment horizontal="right"/>
    </xf>
    <xf numFmtId="1" fontId="0" fillId="0" borderId="6" xfId="0" applyNumberFormat="1" applyBorder="1" applyAlignment="1">
      <alignment horizontal="right"/>
    </xf>
    <xf numFmtId="1" fontId="0" fillId="0" borderId="8" xfId="0" applyNumberFormat="1" applyBorder="1" applyAlignment="1">
      <alignment horizontal="right"/>
    </xf>
    <xf numFmtId="0" fontId="1" fillId="8" borderId="2" xfId="0" applyFont="1" applyFill="1" applyBorder="1"/>
    <xf numFmtId="0" fontId="1" fillId="8" borderId="7" xfId="0" applyFont="1" applyFill="1" applyBorder="1"/>
    <xf numFmtId="0" fontId="0" fillId="8" borderId="7" xfId="0" applyFill="1" applyBorder="1"/>
    <xf numFmtId="3" fontId="0" fillId="12" borderId="1" xfId="0" applyNumberFormat="1" applyFill="1" applyBorder="1" applyAlignment="1">
      <alignment horizontal="left"/>
    </xf>
    <xf numFmtId="9" fontId="0" fillId="12" borderId="2" xfId="0" applyNumberFormat="1" applyFill="1" applyBorder="1" applyAlignment="1">
      <alignment horizontal="right"/>
    </xf>
    <xf numFmtId="169" fontId="0" fillId="12" borderId="2" xfId="0" applyNumberFormat="1" applyFill="1" applyBorder="1" applyAlignment="1">
      <alignment horizontal="left"/>
    </xf>
    <xf numFmtId="3" fontId="0" fillId="0" borderId="4" xfId="0" applyNumberFormat="1" applyBorder="1" applyAlignment="1">
      <alignment horizontal="left"/>
    </xf>
    <xf numFmtId="9" fontId="0" fillId="0" borderId="0" xfId="0" applyNumberFormat="1" applyAlignment="1">
      <alignment horizontal="left"/>
    </xf>
    <xf numFmtId="4" fontId="0" fillId="0" borderId="0" xfId="0" applyNumberFormat="1" applyAlignment="1">
      <alignment horizontal="left"/>
    </xf>
    <xf numFmtId="3" fontId="0" fillId="0" borderId="6" xfId="0" applyNumberFormat="1" applyBorder="1" applyAlignment="1">
      <alignment horizontal="left"/>
    </xf>
    <xf numFmtId="9" fontId="0" fillId="0" borderId="7" xfId="0" applyNumberFormat="1" applyBorder="1" applyAlignment="1">
      <alignment horizontal="right"/>
    </xf>
    <xf numFmtId="9" fontId="0" fillId="0" borderId="7" xfId="0" applyNumberFormat="1" applyBorder="1" applyAlignment="1">
      <alignment horizontal="left"/>
    </xf>
    <xf numFmtId="4" fontId="0" fillId="0" borderId="7" xfId="0" applyNumberFormat="1" applyBorder="1" applyAlignment="1">
      <alignment horizontal="left"/>
    </xf>
    <xf numFmtId="169" fontId="0" fillId="0" borderId="0" xfId="0" applyNumberFormat="1" applyAlignment="1">
      <alignment horizontal="left"/>
    </xf>
    <xf numFmtId="9" fontId="16" fillId="12" borderId="2" xfId="0" applyNumberFormat="1" applyFont="1" applyFill="1" applyBorder="1" applyAlignment="1">
      <alignment horizontal="right"/>
    </xf>
    <xf numFmtId="0" fontId="16" fillId="12" borderId="2" xfId="0" applyFont="1" applyFill="1" applyBorder="1" applyAlignment="1">
      <alignment horizontal="left"/>
    </xf>
    <xf numFmtId="9" fontId="1" fillId="12" borderId="2" xfId="0" applyNumberFormat="1" applyFont="1" applyFill="1" applyBorder="1" applyAlignment="1">
      <alignment horizontal="right"/>
    </xf>
    <xf numFmtId="0" fontId="1" fillId="12" borderId="2" xfId="0" applyFont="1" applyFill="1" applyBorder="1" applyAlignment="1">
      <alignment horizontal="left"/>
    </xf>
    <xf numFmtId="169" fontId="0" fillId="0" borderId="7" xfId="0" applyNumberFormat="1" applyBorder="1" applyAlignment="1">
      <alignment horizontal="left"/>
    </xf>
    <xf numFmtId="0" fontId="16" fillId="12" borderId="3" xfId="0" applyFont="1" applyFill="1" applyBorder="1"/>
    <xf numFmtId="172" fontId="0" fillId="0" borderId="0" xfId="0" applyNumberFormat="1" applyAlignment="1">
      <alignment horizontal="right"/>
    </xf>
    <xf numFmtId="0" fontId="1" fillId="0" borderId="6" xfId="0" applyFont="1" applyBorder="1"/>
    <xf numFmtId="9" fontId="0" fillId="0" borderId="7" xfId="0" applyNumberFormat="1" applyBorder="1"/>
    <xf numFmtId="168" fontId="0" fillId="0" borderId="7" xfId="0" applyNumberFormat="1" applyBorder="1"/>
    <xf numFmtId="166" fontId="0" fillId="0" borderId="7" xfId="0" applyNumberFormat="1" applyBorder="1"/>
    <xf numFmtId="172" fontId="0" fillId="0" borderId="7" xfId="0" applyNumberFormat="1" applyBorder="1" applyAlignment="1">
      <alignment horizontal="right"/>
    </xf>
    <xf numFmtId="172" fontId="0" fillId="0" borderId="7" xfId="0" applyNumberFormat="1" applyBorder="1"/>
    <xf numFmtId="166" fontId="0" fillId="0" borderId="7" xfId="0" applyNumberFormat="1" applyBorder="1" applyAlignment="1">
      <alignment horizontal="right"/>
    </xf>
    <xf numFmtId="4" fontId="0" fillId="0" borderId="7" xfId="0" applyNumberFormat="1" applyBorder="1"/>
    <xf numFmtId="10" fontId="0" fillId="0" borderId="7" xfId="0" applyNumberFormat="1" applyBorder="1" applyAlignment="1">
      <alignment horizontal="right"/>
    </xf>
    <xf numFmtId="170" fontId="0" fillId="0" borderId="7" xfId="0" applyNumberFormat="1" applyBorder="1"/>
    <xf numFmtId="168" fontId="0" fillId="0" borderId="8" xfId="0" applyNumberFormat="1" applyBorder="1"/>
    <xf numFmtId="167" fontId="0" fillId="0" borderId="7" xfId="0" applyNumberFormat="1" applyBorder="1"/>
    <xf numFmtId="165" fontId="0" fillId="0" borderId="8" xfId="0" applyNumberFormat="1" applyBorder="1"/>
    <xf numFmtId="167" fontId="0" fillId="0" borderId="8" xfId="0" applyNumberFormat="1" applyBorder="1"/>
    <xf numFmtId="10" fontId="0" fillId="0" borderId="7" xfId="0" applyNumberFormat="1" applyBorder="1"/>
    <xf numFmtId="173" fontId="0" fillId="0" borderId="7" xfId="0" applyNumberFormat="1" applyBorder="1"/>
    <xf numFmtId="10" fontId="0" fillId="0" borderId="5" xfId="0" applyNumberFormat="1" applyBorder="1" applyAlignment="1">
      <alignment horizontal="right"/>
    </xf>
    <xf numFmtId="10" fontId="0" fillId="0" borderId="8" xfId="0" applyNumberFormat="1" applyBorder="1" applyAlignment="1">
      <alignment horizontal="right"/>
    </xf>
    <xf numFmtId="167" fontId="0" fillId="2" borderId="4" xfId="0" applyNumberFormat="1" applyFill="1" applyBorder="1"/>
    <xf numFmtId="167" fontId="0" fillId="12" borderId="9" xfId="0" applyNumberFormat="1" applyFill="1" applyBorder="1"/>
    <xf numFmtId="167" fontId="0" fillId="12" borderId="1" xfId="0" applyNumberFormat="1" applyFill="1" applyBorder="1"/>
    <xf numFmtId="9" fontId="0" fillId="12" borderId="3" xfId="0" applyNumberFormat="1" applyFill="1" applyBorder="1" applyAlignment="1">
      <alignment horizontal="right"/>
    </xf>
    <xf numFmtId="169" fontId="0" fillId="12" borderId="9" xfId="0" applyNumberFormat="1" applyFill="1" applyBorder="1"/>
    <xf numFmtId="169" fontId="0" fillId="12" borderId="1" xfId="0" applyNumberFormat="1" applyFill="1" applyBorder="1"/>
    <xf numFmtId="9" fontId="8" fillId="12" borderId="9" xfId="0" applyNumberFormat="1" applyFont="1" applyFill="1" applyBorder="1"/>
    <xf numFmtId="9" fontId="8" fillId="12" borderId="2" xfId="0" applyNumberFormat="1" applyFont="1" applyFill="1" applyBorder="1"/>
    <xf numFmtId="9" fontId="8" fillId="12" borderId="1" xfId="0" applyNumberFormat="1" applyFont="1" applyFill="1" applyBorder="1"/>
    <xf numFmtId="170" fontId="8" fillId="12" borderId="2" xfId="0" applyNumberFormat="1" applyFont="1" applyFill="1" applyBorder="1" applyAlignment="1">
      <alignment horizontal="right"/>
    </xf>
    <xf numFmtId="167" fontId="0" fillId="4" borderId="0" xfId="0" applyNumberFormat="1" applyFill="1"/>
    <xf numFmtId="4" fontId="0" fillId="0" borderId="10" xfId="0" applyNumberFormat="1" applyBorder="1"/>
    <xf numFmtId="168" fontId="7" fillId="0" borderId="4" xfId="1" applyNumberFormat="1" applyFont="1" applyFill="1" applyBorder="1" applyAlignment="1">
      <alignment horizontal="left"/>
    </xf>
    <xf numFmtId="0" fontId="11" fillId="4" borderId="4" xfId="1" applyFont="1" applyFill="1" applyBorder="1"/>
    <xf numFmtId="0" fontId="32" fillId="12" borderId="0" xfId="0" applyFont="1" applyFill="1"/>
    <xf numFmtId="0" fontId="6" fillId="12" borderId="0" xfId="1" applyFill="1" applyBorder="1"/>
    <xf numFmtId="9" fontId="0" fillId="2" borderId="5" xfId="0" applyNumberFormat="1" applyFill="1" applyBorder="1"/>
    <xf numFmtId="170" fontId="0" fillId="2" borderId="5" xfId="0" applyNumberFormat="1" applyFill="1" applyBorder="1" applyAlignment="1">
      <alignment horizontal="right"/>
    </xf>
    <xf numFmtId="9" fontId="0" fillId="2" borderId="5" xfId="0" applyNumberFormat="1" applyFill="1" applyBorder="1" applyAlignment="1">
      <alignment horizontal="right"/>
    </xf>
    <xf numFmtId="170" fontId="8" fillId="12" borderId="3" xfId="0" applyNumberFormat="1" applyFont="1" applyFill="1" applyBorder="1" applyAlignment="1">
      <alignment horizontal="right"/>
    </xf>
    <xf numFmtId="168" fontId="7" fillId="20" borderId="5" xfId="1" applyNumberFormat="1" applyFont="1" applyFill="1" applyBorder="1" applyAlignment="1">
      <alignment horizontal="left"/>
    </xf>
    <xf numFmtId="0" fontId="15" fillId="2" borderId="6" xfId="0" applyFont="1" applyFill="1" applyBorder="1"/>
    <xf numFmtId="0" fontId="15" fillId="2" borderId="7" xfId="0" applyFont="1" applyFill="1" applyBorder="1"/>
    <xf numFmtId="0" fontId="15" fillId="2" borderId="8" xfId="0" applyFont="1" applyFill="1" applyBorder="1"/>
    <xf numFmtId="0" fontId="15" fillId="0" borderId="11" xfId="0" applyFont="1" applyBorder="1"/>
    <xf numFmtId="0" fontId="15" fillId="0" borderId="7" xfId="0" applyFont="1" applyBorder="1" applyAlignment="1">
      <alignment horizontal="left"/>
    </xf>
    <xf numFmtId="0" fontId="15" fillId="4" borderId="6" xfId="0" applyFont="1" applyFill="1" applyBorder="1"/>
    <xf numFmtId="0" fontId="1" fillId="0" borderId="11" xfId="0" applyFont="1" applyBorder="1"/>
    <xf numFmtId="0" fontId="1" fillId="0" borderId="7" xfId="0" applyFont="1" applyBorder="1" applyAlignment="1">
      <alignment horizontal="left"/>
    </xf>
    <xf numFmtId="0" fontId="1" fillId="0" borderId="5" xfId="0" applyFont="1" applyBorder="1"/>
    <xf numFmtId="0" fontId="1" fillId="0" borderId="8" xfId="0" applyFont="1" applyBorder="1"/>
    <xf numFmtId="0" fontId="6" fillId="0" borderId="6" xfId="1" applyFill="1" applyBorder="1"/>
    <xf numFmtId="0" fontId="6" fillId="0" borderId="8" xfId="1" applyFill="1" applyBorder="1"/>
    <xf numFmtId="0" fontId="35" fillId="12" borderId="9" xfId="1" applyFont="1" applyFill="1" applyBorder="1"/>
    <xf numFmtId="0" fontId="8" fillId="12" borderId="9" xfId="0" applyFont="1" applyFill="1" applyBorder="1"/>
    <xf numFmtId="0" fontId="8" fillId="12" borderId="2" xfId="0" applyFont="1" applyFill="1" applyBorder="1"/>
    <xf numFmtId="0" fontId="8" fillId="12" borderId="2" xfId="0" applyFont="1" applyFill="1" applyBorder="1" applyAlignment="1">
      <alignment horizontal="right"/>
    </xf>
    <xf numFmtId="0" fontId="8" fillId="12" borderId="3" xfId="0" applyFont="1" applyFill="1" applyBorder="1" applyAlignment="1">
      <alignment horizontal="right"/>
    </xf>
    <xf numFmtId="0" fontId="7" fillId="0" borderId="0" xfId="1" applyFont="1" applyBorder="1" applyAlignment="1">
      <alignment wrapText="1"/>
    </xf>
  </cellXfs>
  <cellStyles count="2">
    <cellStyle name="Hyperlink" xfId="1" builtinId="8"/>
    <cellStyle name="Normal" xfId="0" builtinId="0"/>
  </cellStyles>
  <dxfs count="0"/>
  <tableStyles count="0" defaultTableStyle="TableStyleMedium9" defaultPivotStyle="PivotStyleLight16"/>
  <colors>
    <mruColors>
      <color rgb="FF66FF66"/>
      <color rgb="FFFCB59C"/>
      <color rgb="FFFF7E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Exa-FLOPS by the</a:t>
            </a:r>
            <a:r>
              <a:rPr lang="en-US" baseline="0"/>
              <a:t> most powerful s</a:t>
            </a:r>
            <a:r>
              <a:rPr lang="en-US"/>
              <a:t>upercomputer</a:t>
            </a:r>
            <a:r>
              <a:rPr lang="en-US" baseline="0"/>
              <a:t> in the world</a:t>
            </a:r>
            <a:r>
              <a:rPr lang="en-US"/>
              <a:t>. </a:t>
            </a:r>
          </a:p>
          <a:p>
            <a:pPr>
              <a:defRPr/>
            </a:pPr>
            <a:r>
              <a:rPr lang="en-US"/>
              <a:t>Annual</a:t>
            </a:r>
            <a:r>
              <a:rPr lang="en-US" baseline="0"/>
              <a:t> growth since 1993 is 74%</a:t>
            </a:r>
            <a:endParaRPr lang="en-US"/>
          </a:p>
        </c:rich>
      </c:tx>
      <c:layout>
        <c:manualLayout>
          <c:xMode val="edge"/>
          <c:yMode val="edge"/>
          <c:x val="8.4401053087119635E-2"/>
          <c:y val="2.89855072463768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FP32</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FutureAISupercomputers!$B$13:$B$37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FutureAISupercomputers!$E$13:$E$37</c:f>
              <c:numCache>
                <c:formatCode>#,##0.00</c:formatCode>
                <c:ptCount val="25"/>
                <c:pt idx="0">
                  <c:v>0.5</c:v>
                </c:pt>
                <c:pt idx="1">
                  <c:v>0.30873600000000001</c:v>
                </c:pt>
                <c:pt idx="2">
                  <c:v>0.67</c:v>
                </c:pt>
                <c:pt idx="3">
                  <c:v>6.7</c:v>
                </c:pt>
                <c:pt idx="4" formatCode="#,##0.0">
                  <c:v>24</c:v>
                </c:pt>
                <c:pt idx="5" formatCode="#,##0.0">
                  <c:v>36</c:v>
                </c:pt>
                <c:pt idx="6" formatCode="#,##0.0">
                  <c:v>74.900646891759479</c:v>
                </c:pt>
                <c:pt idx="7" formatCode="#,##0">
                  <c:v>155.83630291122333</c:v>
                </c:pt>
                <c:pt idx="8" formatCode="#,##0">
                  <c:v>246.41395338682821</c:v>
                </c:pt>
                <c:pt idx="9" formatCode="#,##0">
                  <c:v>397.65746188236204</c:v>
                </c:pt>
                <c:pt idx="10" formatCode="#,##0">
                  <c:v>630.9965277769403</c:v>
                </c:pt>
                <c:pt idx="11" formatCode="#,##0">
                  <c:v>1069.7171384494161</c:v>
                </c:pt>
                <c:pt idx="12" formatCode="#,##0">
                  <c:v>1522.3412026558249</c:v>
                </c:pt>
                <c:pt idx="13" formatCode="#,##0">
                  <c:v>2200.8704244109927</c:v>
                </c:pt>
                <c:pt idx="14" formatCode="#,##0">
                  <c:v>3248.1179346932231</c:v>
                </c:pt>
                <c:pt idx="15" formatCode="#,##0">
                  <c:v>4930.6430248643119</c:v>
                </c:pt>
                <c:pt idx="16" formatCode="#,##0">
                  <c:v>7796.5792830666942</c:v>
                </c:pt>
                <c:pt idx="17" formatCode="#,##0">
                  <c:v>10559.894364505009</c:v>
                </c:pt>
                <c:pt idx="18" formatCode="#,##0">
                  <c:v>12917.037262402311</c:v>
                </c:pt>
                <c:pt idx="19" formatCode="#,##0">
                  <c:v>15862.295492746725</c:v>
                </c:pt>
                <c:pt idx="20" formatCode="#,##0">
                  <c:v>19566.072535797532</c:v>
                </c:pt>
                <c:pt idx="21" formatCode="#,##0">
                  <c:v>24258.432932786603</c:v>
                </c:pt>
                <c:pt idx="22" formatCode="#,##0">
                  <c:v>30255.145698041189</c:v>
                </c:pt>
                <c:pt idx="23" formatCode="#,##0">
                  <c:v>37998.128709982171</c:v>
                </c:pt>
                <c:pt idx="24" formatCode="#,##0">
                  <c:v>48120.40729213212</c:v>
                </c:pt>
              </c:numCache>
            </c:numRef>
          </c:val>
          <c:smooth val="0"/>
          <c:extLst>
            <c:ext xmlns:c16="http://schemas.microsoft.com/office/drawing/2014/chart" uri="{C3380CC4-5D6E-409C-BE32-E72D297353CC}">
              <c16:uniqueId val="{00000000-7671-4E2A-85D7-65313AD3A561}"/>
            </c:ext>
          </c:extLst>
        </c:ser>
        <c:ser>
          <c:idx val="2"/>
          <c:order val="1"/>
          <c:tx>
            <c:v>FP8</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FutureAISupercomputers!$B$13:$B$37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FutureAISupercomputers!$F$13:$F$37</c:f>
              <c:numCache>
                <c:formatCode>#,##0</c:formatCode>
                <c:ptCount val="25"/>
                <c:pt idx="0">
                  <c:v>7.8</c:v>
                </c:pt>
                <c:pt idx="1">
                  <c:v>18.238464</c:v>
                </c:pt>
                <c:pt idx="2">
                  <c:v>39.58</c:v>
                </c:pt>
                <c:pt idx="3">
                  <c:v>395.8</c:v>
                </c:pt>
                <c:pt idx="4">
                  <c:v>2700</c:v>
                </c:pt>
                <c:pt idx="5">
                  <c:v>4000</c:v>
                </c:pt>
                <c:pt idx="6">
                  <c:v>8322.2940990843872</c:v>
                </c:pt>
                <c:pt idx="7">
                  <c:v>17315.144767913705</c:v>
                </c:pt>
                <c:pt idx="8">
                  <c:v>27379.328154092022</c:v>
                </c:pt>
                <c:pt idx="9">
                  <c:v>44184.162431373567</c:v>
                </c:pt>
                <c:pt idx="10">
                  <c:v>70110.725308548936</c:v>
                </c:pt>
                <c:pt idx="11">
                  <c:v>118857.45982771293</c:v>
                </c:pt>
                <c:pt idx="12">
                  <c:v>169149.02251731389</c:v>
                </c:pt>
                <c:pt idx="13">
                  <c:v>244541.15826788807</c:v>
                </c:pt>
                <c:pt idx="14">
                  <c:v>360901.99274369143</c:v>
                </c:pt>
                <c:pt idx="15">
                  <c:v>547849.22498492361</c:v>
                </c:pt>
                <c:pt idx="16">
                  <c:v>866286.58700741036</c:v>
                </c:pt>
                <c:pt idx="17">
                  <c:v>1173321.5960561121</c:v>
                </c:pt>
                <c:pt idx="18">
                  <c:v>1435226.3624891455</c:v>
                </c:pt>
                <c:pt idx="19">
                  <c:v>1762477.2769718582</c:v>
                </c:pt>
                <c:pt idx="20">
                  <c:v>2174008.0595330591</c:v>
                </c:pt>
                <c:pt idx="21">
                  <c:v>2695381.4369762889</c:v>
                </c:pt>
                <c:pt idx="22">
                  <c:v>3361682.8553379104</c:v>
                </c:pt>
                <c:pt idx="23">
                  <c:v>4222014.3011091305</c:v>
                </c:pt>
                <c:pt idx="24">
                  <c:v>5346711.921348013</c:v>
                </c:pt>
              </c:numCache>
            </c:numRef>
          </c:val>
          <c:smooth val="0"/>
          <c:extLst>
            <c:ext xmlns:c16="http://schemas.microsoft.com/office/drawing/2014/chart" uri="{C3380CC4-5D6E-409C-BE32-E72D297353CC}">
              <c16:uniqueId val="{00000002-7671-4E2A-85D7-65313AD3A561}"/>
            </c:ext>
          </c:extLst>
        </c:ser>
        <c:ser>
          <c:idx val="1"/>
          <c:order val="2"/>
          <c:tx>
            <c:v>FP4</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FutureAISupercomputers!$G$13:$G$37</c:f>
              <c:numCache>
                <c:formatCode>#,##0</c:formatCode>
                <c:ptCount val="25"/>
                <c:pt idx="0">
                  <c:v>0</c:v>
                </c:pt>
                <c:pt idx="1">
                  <c:v>0</c:v>
                </c:pt>
                <c:pt idx="2">
                  <c:v>0</c:v>
                </c:pt>
                <c:pt idx="3">
                  <c:v>0</c:v>
                </c:pt>
                <c:pt idx="4">
                  <c:v>5400</c:v>
                </c:pt>
                <c:pt idx="5">
                  <c:v>8000</c:v>
                </c:pt>
                <c:pt idx="6">
                  <c:v>16644.588198168774</c:v>
                </c:pt>
                <c:pt idx="7">
                  <c:v>34630.289535827404</c:v>
                </c:pt>
                <c:pt idx="8">
                  <c:v>54758.656308184036</c:v>
                </c:pt>
                <c:pt idx="9">
                  <c:v>88368.324862747104</c:v>
                </c:pt>
                <c:pt idx="10">
                  <c:v>140221.45061709784</c:v>
                </c:pt>
                <c:pt idx="11">
                  <c:v>237714.91965542577</c:v>
                </c:pt>
                <c:pt idx="12">
                  <c:v>338298.04503462772</c:v>
                </c:pt>
                <c:pt idx="13">
                  <c:v>489082.31653577607</c:v>
                </c:pt>
                <c:pt idx="14">
                  <c:v>721803.98548738274</c:v>
                </c:pt>
                <c:pt idx="15">
                  <c:v>1095698.449969847</c:v>
                </c:pt>
                <c:pt idx="16">
                  <c:v>1732573.1740148203</c:v>
                </c:pt>
                <c:pt idx="17">
                  <c:v>2346643.1921122237</c:v>
                </c:pt>
                <c:pt idx="18">
                  <c:v>2870452.7249782905</c:v>
                </c:pt>
                <c:pt idx="19">
                  <c:v>3524954.553943716</c:v>
                </c:pt>
                <c:pt idx="20">
                  <c:v>4348016.1190661173</c:v>
                </c:pt>
                <c:pt idx="21">
                  <c:v>5390762.873952576</c:v>
                </c:pt>
                <c:pt idx="22">
                  <c:v>6723365.7106758179</c:v>
                </c:pt>
                <c:pt idx="23">
                  <c:v>8444028.6022182573</c:v>
                </c:pt>
                <c:pt idx="24">
                  <c:v>10693423.842696022</c:v>
                </c:pt>
              </c:numCache>
            </c:numRef>
          </c:val>
          <c:smooth val="0"/>
          <c:extLst>
            <c:ext xmlns:c16="http://schemas.microsoft.com/office/drawing/2014/chart" uri="{C3380CC4-5D6E-409C-BE32-E72D297353CC}">
              <c16:uniqueId val="{00000000-A11B-4F3C-AD26-ECEDAACB5181}"/>
            </c:ext>
          </c:extLst>
        </c:ser>
        <c:dLbls>
          <c:showLegendKey val="0"/>
          <c:showVal val="0"/>
          <c:showCatName val="0"/>
          <c:showSerName val="0"/>
          <c:showPercent val="0"/>
          <c:showBubbleSize val="0"/>
        </c:dLbls>
        <c:marker val="1"/>
        <c:smooth val="0"/>
        <c:axId val="994998432"/>
        <c:axId val="991673456"/>
      </c:lineChart>
      <c:catAx>
        <c:axId val="99499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1673456"/>
        <c:crosses val="autoZero"/>
        <c:auto val="1"/>
        <c:lblAlgn val="ctr"/>
        <c:lblOffset val="100"/>
        <c:noMultiLvlLbl val="0"/>
      </c:catAx>
      <c:valAx>
        <c:axId val="991673456"/>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4998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 AGIs </a:t>
            </a:r>
            <a:r>
              <a:rPr lang="en-US" baseline="0"/>
              <a:t>possible by the world's most powerful supercomputer</a:t>
            </a:r>
            <a:endParaRPr lang="en-US"/>
          </a:p>
        </c:rich>
      </c:tx>
      <c:layout>
        <c:manualLayout>
          <c:xMode val="edge"/>
          <c:yMode val="edge"/>
          <c:x val="1.4116696951342621E-2"/>
          <c:y val="2.20994475138121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v>If AGI require 12,900 TFLOPS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FutureAISupercomputers!$B$13:$B$37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FutureAISupercomputers!$W$13:$W$37</c:f>
              <c:numCache>
                <c:formatCode>#,##0</c:formatCode>
                <c:ptCount val="25"/>
                <c:pt idx="0">
                  <c:v>604.65116279069764</c:v>
                </c:pt>
                <c:pt idx="1">
                  <c:v>1413.8344186046511</c:v>
                </c:pt>
                <c:pt idx="2">
                  <c:v>3068.2170542635658</c:v>
                </c:pt>
                <c:pt idx="3">
                  <c:v>30682.17054263566</c:v>
                </c:pt>
                <c:pt idx="4">
                  <c:v>209302.32558139536</c:v>
                </c:pt>
                <c:pt idx="5">
                  <c:v>620155.03875968989</c:v>
                </c:pt>
                <c:pt idx="6">
                  <c:v>1290278.1548968041</c:v>
                </c:pt>
                <c:pt idx="7">
                  <c:v>2684518.5686687906</c:v>
                </c:pt>
                <c:pt idx="8">
                  <c:v>4244857.0781538012</c:v>
                </c:pt>
                <c:pt idx="9">
                  <c:v>6850257.7412982248</c:v>
                </c:pt>
                <c:pt idx="10">
                  <c:v>10869879.892798282</c:v>
                </c:pt>
                <c:pt idx="11">
                  <c:v>18427513.151583392</c:v>
                </c:pt>
                <c:pt idx="12">
                  <c:v>26224654.653847113</c:v>
                </c:pt>
                <c:pt idx="13">
                  <c:v>37913357.870990396</c:v>
                </c:pt>
                <c:pt idx="14">
                  <c:v>55953797.324603312</c:v>
                </c:pt>
                <c:pt idx="15">
                  <c:v>84937864.338747829</c:v>
                </c:pt>
                <c:pt idx="16">
                  <c:v>134307997.985645</c:v>
                </c:pt>
                <c:pt idx="17">
                  <c:v>181910324.96993983</c:v>
                </c:pt>
                <c:pt idx="18">
                  <c:v>222515715.11459616</c:v>
                </c:pt>
                <c:pt idx="19">
                  <c:v>273252291.00338882</c:v>
                </c:pt>
                <c:pt idx="20">
                  <c:v>337055513.10590059</c:v>
                </c:pt>
                <c:pt idx="21">
                  <c:v>417888594.88004464</c:v>
                </c:pt>
                <c:pt idx="22">
                  <c:v>521191140.36246651</c:v>
                </c:pt>
                <c:pt idx="23">
                  <c:v>654575860.63707423</c:v>
                </c:pt>
                <c:pt idx="24">
                  <c:v>828947584.70511794</c:v>
                </c:pt>
              </c:numCache>
            </c:numRef>
          </c:val>
          <c:smooth val="0"/>
          <c:extLst>
            <c:ext xmlns:c16="http://schemas.microsoft.com/office/drawing/2014/chart" uri="{C3380CC4-5D6E-409C-BE32-E72D297353CC}">
              <c16:uniqueId val="{00000001-CD11-4F7C-94C9-1EF993D53BF4}"/>
            </c:ext>
          </c:extLst>
        </c:ser>
        <c:ser>
          <c:idx val="0"/>
          <c:order val="1"/>
          <c:tx>
            <c:v>If AGI require 31,536 GB</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FutureAISupercomputers!$B$13:$B$37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FutureAISupercomputers!$V$13:$V$37</c:f>
              <c:numCache>
                <c:formatCode>#,##0</c:formatCode>
                <c:ptCount val="25"/>
                <c:pt idx="0">
                  <c:v>24.880573248407643</c:v>
                </c:pt>
                <c:pt idx="1">
                  <c:v>9.1719745222929934</c:v>
                </c:pt>
                <c:pt idx="2">
                  <c:v>19.904458598726116</c:v>
                </c:pt>
                <c:pt idx="3">
                  <c:v>199.04458598726114</c:v>
                </c:pt>
                <c:pt idx="4">
                  <c:v>597.13375796178343</c:v>
                </c:pt>
                <c:pt idx="5">
                  <c:v>1910.8280254777069</c:v>
                </c:pt>
                <c:pt idx="6">
                  <c:v>3801.4975195729403</c:v>
                </c:pt>
                <c:pt idx="7">
                  <c:v>7562.8906414570574</c:v>
                </c:pt>
                <c:pt idx="8">
                  <c:v>11434.956636354415</c:v>
                </c:pt>
                <c:pt idx="9">
                  <c:v>17645.273859468267</c:v>
                </c:pt>
                <c:pt idx="10">
                  <c:v>26772.953127570181</c:v>
                </c:pt>
                <c:pt idx="11">
                  <c:v>43399.857492058247</c:v>
                </c:pt>
                <c:pt idx="12">
                  <c:v>71232.036549088021</c:v>
                </c:pt>
                <c:pt idx="13">
                  <c:v>118768.65638380352</c:v>
                </c:pt>
                <c:pt idx="14">
                  <c:v>202154.38595325843</c:v>
                </c:pt>
                <c:pt idx="15">
                  <c:v>320212.5473499613</c:v>
                </c:pt>
                <c:pt idx="16">
                  <c:v>528350.70312743634</c:v>
                </c:pt>
                <c:pt idx="17">
                  <c:v>820497.56250378338</c:v>
                </c:pt>
                <c:pt idx="18">
                  <c:v>1150747.8314115563</c:v>
                </c:pt>
                <c:pt idx="19">
                  <c:v>1485231.8677418486</c:v>
                </c:pt>
                <c:pt idx="20">
                  <c:v>1925497.0285367542</c:v>
                </c:pt>
                <c:pt idx="21">
                  <c:v>2509070.7433394324</c:v>
                </c:pt>
                <c:pt idx="22">
                  <c:v>3288973.5660607731</c:v>
                </c:pt>
                <c:pt idx="23">
                  <c:v>4341445.1072002212</c:v>
                </c:pt>
                <c:pt idx="24">
                  <c:v>5778463.4376834957</c:v>
                </c:pt>
              </c:numCache>
            </c:numRef>
          </c:val>
          <c:smooth val="0"/>
          <c:extLst>
            <c:ext xmlns:c16="http://schemas.microsoft.com/office/drawing/2014/chart" uri="{C3380CC4-5D6E-409C-BE32-E72D297353CC}">
              <c16:uniqueId val="{00000001-EE00-4A46-B959-F2AFD3DBE768}"/>
            </c:ext>
          </c:extLst>
        </c:ser>
        <c:dLbls>
          <c:showLegendKey val="0"/>
          <c:showVal val="0"/>
          <c:showCatName val="0"/>
          <c:showSerName val="0"/>
          <c:showPercent val="0"/>
          <c:showBubbleSize val="0"/>
        </c:dLbls>
        <c:marker val="1"/>
        <c:smooth val="0"/>
        <c:axId val="93154000"/>
        <c:axId val="681287312"/>
      </c:lineChart>
      <c:catAx>
        <c:axId val="9315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1287312"/>
        <c:crosses val="autoZero"/>
        <c:auto val="1"/>
        <c:lblAlgn val="ctr"/>
        <c:lblOffset val="100"/>
        <c:noMultiLvlLbl val="0"/>
      </c:catAx>
      <c:valAx>
        <c:axId val="681287312"/>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4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human level (HL) AGI's possible </a:t>
            </a:r>
          </a:p>
          <a:p>
            <a:pPr>
              <a:defRPr/>
            </a:pPr>
            <a:r>
              <a:rPr lang="en-US"/>
              <a:t>using global stock of AI chips made</a:t>
            </a:r>
          </a:p>
        </c:rich>
      </c:tx>
      <c:layout>
        <c:manualLayout>
          <c:xMode val="edge"/>
          <c:yMode val="edge"/>
          <c:x val="0.26176100401242947"/>
          <c:y val="2.8659013043217112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44720678950667"/>
          <c:y val="0.19748103624451524"/>
          <c:w val="0.85830311086826216"/>
          <c:h val="0.59623269564228654"/>
        </c:manualLayout>
      </c:layout>
      <c:lineChart>
        <c:grouping val="standard"/>
        <c:varyColors val="0"/>
        <c:ser>
          <c:idx val="1"/>
          <c:order val="0"/>
          <c:tx>
            <c:v># of AGIs possible if each require 12900 TFLOPS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GlobalChipProd_TFLOPS_GB_RAM!$B$11:$B$34</c15:sqref>
                  </c15:fullRef>
                </c:ext>
              </c:extLst>
              <c:f>GlobalChipProd_TFLOPS_GB_RAM!$B$12:$B$34</c:f>
              <c:numCache>
                <c:formatCode>General</c:formatCode>
                <c:ptCount val="2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numCache>
            </c:numRef>
          </c:cat>
          <c:val>
            <c:numRef>
              <c:extLst>
                <c:ext xmlns:c15="http://schemas.microsoft.com/office/drawing/2012/chart" uri="{02D57815-91ED-43cb-92C2-25804820EDAC}">
                  <c15:fullRef>
                    <c15:sqref>GlobalChipProd_TFLOPS_GB_RAM!$T$11:$T$34</c15:sqref>
                  </c15:fullRef>
                </c:ext>
              </c:extLst>
              <c:f>GlobalChipProd_TFLOPS_GB_RAM!$T$12:$T$34</c:f>
              <c:numCache>
                <c:formatCode>#,##0</c:formatCode>
                <c:ptCount val="23"/>
                <c:pt idx="0">
                  <c:v>168751.93798449612</c:v>
                </c:pt>
                <c:pt idx="1">
                  <c:v>782395.34883720928</c:v>
                </c:pt>
                <c:pt idx="2">
                  <c:v>6983945.7364341086</c:v>
                </c:pt>
                <c:pt idx="3">
                  <c:v>16906426.356589146</c:v>
                </c:pt>
                <c:pt idx="4">
                  <c:v>37550876.834938012</c:v>
                </c:pt>
                <c:pt idx="5">
                  <c:v>74776200.987145245</c:v>
                </c:pt>
                <c:pt idx="6">
                  <c:v>141730803.08031794</c:v>
                </c:pt>
                <c:pt idx="7">
                  <c:v>257496387.41201767</c:v>
                </c:pt>
                <c:pt idx="8">
                  <c:v>453074453.75313777</c:v>
                </c:pt>
                <c:pt idx="9">
                  <c:v>792999746.80317271</c:v>
                </c:pt>
                <c:pt idx="10">
                  <c:v>1275261470.9757216</c:v>
                </c:pt>
                <c:pt idx="11">
                  <c:v>1960963772.8841801</c:v>
                </c:pt>
                <c:pt idx="12">
                  <c:v>2933048881.3152294</c:v>
                </c:pt>
                <c:pt idx="13">
                  <c:v>4310531818.3620987</c:v>
                </c:pt>
                <c:pt idx="14">
                  <c:v>6256179063.518177</c:v>
                </c:pt>
                <c:pt idx="15">
                  <c:v>8715708849.5211945</c:v>
                </c:pt>
                <c:pt idx="16">
                  <c:v>11888179197.760609</c:v>
                </c:pt>
                <c:pt idx="17">
                  <c:v>15973573806.104275</c:v>
                </c:pt>
                <c:pt idx="18">
                  <c:v>21224867164.578121</c:v>
                </c:pt>
                <c:pt idx="19">
                  <c:v>27960572659.806763</c:v>
                </c:pt>
                <c:pt idx="20">
                  <c:v>36579502091.693375</c:v>
                </c:pt>
                <c:pt idx="21">
                  <c:v>47855242078.058594</c:v>
                </c:pt>
                <c:pt idx="22">
                  <c:v>62606762350.372208</c:v>
                </c:pt>
              </c:numCache>
            </c:numRef>
          </c:val>
          <c:smooth val="0"/>
          <c:extLst>
            <c:ext xmlns:c16="http://schemas.microsoft.com/office/drawing/2014/chart" uri="{C3380CC4-5D6E-409C-BE32-E72D297353CC}">
              <c16:uniqueId val="{00000001-8029-46C9-B8E5-A3721574B23D}"/>
            </c:ext>
          </c:extLst>
        </c:ser>
        <c:ser>
          <c:idx val="4"/>
          <c:order val="1"/>
          <c:tx>
            <c:v># of AGIs possible if each require 31.5TB</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Lit>
              <c:ptCount val="2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GlobalChipProd_TFLOPS_GB_RAM!$S$11:$S$34</c15:sqref>
                  </c15:fullRef>
                </c:ext>
              </c:extLst>
              <c:f>GlobalChipProd_TFLOPS_GB_RAM!$S$12:$S$34</c:f>
              <c:numCache>
                <c:formatCode>#,##0</c:formatCode>
                <c:ptCount val="23"/>
                <c:pt idx="0">
                  <c:v>1094.7452229299363</c:v>
                </c:pt>
                <c:pt idx="1">
                  <c:v>5075.6369426751589</c:v>
                </c:pt>
                <c:pt idx="2">
                  <c:v>24183.917197452229</c:v>
                </c:pt>
                <c:pt idx="3">
                  <c:v>54757.165605095543</c:v>
                </c:pt>
                <c:pt idx="4">
                  <c:v>115581.12591826258</c:v>
                </c:pt>
                <c:pt idx="5">
                  <c:v>220453.20947980045</c:v>
                </c:pt>
                <c:pt idx="6">
                  <c:v>400177.89551243972</c:v>
                </c:pt>
                <c:pt idx="7">
                  <c:v>695973.07392368303</c:v>
                </c:pt>
                <c:pt idx="8">
                  <c:v>1173856.1380126656</c:v>
                </c:pt>
                <c:pt idx="9">
                  <c:v>1967232.5672583771</c:v>
                </c:pt>
                <c:pt idx="10">
                  <c:v>3272414.4318585084</c:v>
                </c:pt>
                <c:pt idx="11">
                  <c:v>5432209.674839817</c:v>
                </c:pt>
                <c:pt idx="12">
                  <c:v>9005926.283162443</c:v>
                </c:pt>
                <c:pt idx="13">
                  <c:v>14337954.272398748</c:v>
                </c:pt>
                <c:pt idx="14">
                  <c:v>22288669.017105933</c:v>
                </c:pt>
                <c:pt idx="15">
                  <c:v>34136278.473028988</c:v>
                </c:pt>
                <c:pt idx="16">
                  <c:v>51777611.348480314</c:v>
                </c:pt>
                <c:pt idx="17">
                  <c:v>75648034.734938815</c:v>
                </c:pt>
                <c:pt idx="18">
                  <c:v>107829248.4257375</c:v>
                </c:pt>
                <c:pt idx="19">
                  <c:v>151609100.2456384</c:v>
                </c:pt>
                <c:pt idx="20">
                  <c:v>211102420.99058118</c:v>
                </c:pt>
                <c:pt idx="21">
                  <c:v>291849773.75374627</c:v>
                </c:pt>
                <c:pt idx="22">
                  <c:v>401293438.91140115</c:v>
                </c:pt>
              </c:numCache>
            </c:numRef>
          </c:val>
          <c:smooth val="0"/>
          <c:extLst>
            <c:ext xmlns:c16="http://schemas.microsoft.com/office/drawing/2014/chart" uri="{C3380CC4-5D6E-409C-BE32-E72D297353CC}">
              <c16:uniqueId val="{00000000-8EF5-42F3-AB1B-92E43490A71C}"/>
            </c:ext>
          </c:extLst>
        </c:ser>
        <c:ser>
          <c:idx val="3"/>
          <c:order val="2"/>
          <c:tx>
            <c:v>Humans on Earth</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c:ext xmlns:c15="http://schemas.microsoft.com/office/drawing/2012/chart" uri="{02D57815-91ED-43cb-92C2-25804820EDAC}">
                  <c15:fullRef>
                    <c15:sqref>GlobalChipProd_TFLOPS_GB_RAM!$B$11:$B$34</c15:sqref>
                  </c15:fullRef>
                </c:ext>
              </c:extLst>
              <c:f>GlobalChipProd_TFLOPS_GB_RAM!$B$12:$B$34</c:f>
              <c:numCache>
                <c:formatCode>General</c:formatCode>
                <c:ptCount val="2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numCache>
            </c:numRef>
          </c:cat>
          <c:val>
            <c:numRef>
              <c:extLst>
                <c:ext xmlns:c15="http://schemas.microsoft.com/office/drawing/2012/chart" uri="{02D57815-91ED-43cb-92C2-25804820EDAC}">
                  <c15:fullRef>
                    <c15:sqref>GlobalChipProd_TFLOPS_GB_RAM!$Y$11:$Y$34</c15:sqref>
                  </c15:fullRef>
                </c:ext>
              </c:extLst>
              <c:f>GlobalChipProd_TFLOPS_GB_RAM!$Y$12:$Y$34</c:f>
              <c:numCache>
                <c:formatCode>#,##0</c:formatCode>
                <c:ptCount val="23"/>
                <c:pt idx="0">
                  <c:v>8041298528.7947998</c:v>
                </c:pt>
                <c:pt idx="1">
                  <c:v>8108041306.5837965</c:v>
                </c:pt>
                <c:pt idx="2">
                  <c:v>8175338049.428442</c:v>
                </c:pt>
                <c:pt idx="3">
                  <c:v>8243193355.238698</c:v>
                </c:pt>
                <c:pt idx="4">
                  <c:v>8311611860.0871792</c:v>
                </c:pt>
                <c:pt idx="5">
                  <c:v>8380598238.5259027</c:v>
                </c:pt>
                <c:pt idx="6">
                  <c:v>8450157203.9056673</c:v>
                </c:pt>
                <c:pt idx="7">
                  <c:v>8520293508.6980839</c:v>
                </c:pt>
                <c:pt idx="8">
                  <c:v>8591011944.8202782</c:v>
                </c:pt>
                <c:pt idx="9">
                  <c:v>8662317343.962286</c:v>
                </c:pt>
                <c:pt idx="10">
                  <c:v>8734214577.9171734</c:v>
                </c:pt>
                <c:pt idx="11">
                  <c:v>8806708558.9138851</c:v>
                </c:pt>
                <c:pt idx="12">
                  <c:v>8879804239.9528694</c:v>
                </c:pt>
                <c:pt idx="13">
                  <c:v>8953506615.1444778</c:v>
                </c:pt>
                <c:pt idx="14">
                  <c:v>9027820720.0501766</c:v>
                </c:pt>
                <c:pt idx="15">
                  <c:v>9102751632.0265923</c:v>
                </c:pt>
                <c:pt idx="16">
                  <c:v>9178304470.5724125</c:v>
                </c:pt>
                <c:pt idx="17">
                  <c:v>9254484397.6781635</c:v>
                </c:pt>
                <c:pt idx="18">
                  <c:v>9331296618.1788921</c:v>
                </c:pt>
                <c:pt idx="19">
                  <c:v>9408746380.1097775</c:v>
                </c:pt>
                <c:pt idx="20">
                  <c:v>9486838975.0646877</c:v>
                </c:pt>
                <c:pt idx="21">
                  <c:v>9565579738.557724</c:v>
                </c:pt>
                <c:pt idx="22">
                  <c:v>9644974050.3877525</c:v>
                </c:pt>
              </c:numCache>
            </c:numRef>
          </c:val>
          <c:smooth val="0"/>
          <c:extLst>
            <c:ext xmlns:c16="http://schemas.microsoft.com/office/drawing/2014/chart" uri="{C3380CC4-5D6E-409C-BE32-E72D297353CC}">
              <c16:uniqueId val="{00000003-8029-46C9-B8E5-A3721574B23D}"/>
            </c:ext>
          </c:extLst>
        </c:ser>
        <c:dLbls>
          <c:showLegendKey val="0"/>
          <c:showVal val="0"/>
          <c:showCatName val="0"/>
          <c:showSerName val="0"/>
          <c:showPercent val="0"/>
          <c:showBubbleSize val="0"/>
        </c:dLbls>
        <c:marker val="1"/>
        <c:smooth val="0"/>
        <c:axId val="998930112"/>
        <c:axId val="634590384"/>
        <c:extLst/>
      </c:lineChart>
      <c:catAx>
        <c:axId val="99893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590384"/>
        <c:crosses val="autoZero"/>
        <c:auto val="1"/>
        <c:lblAlgn val="ctr"/>
        <c:lblOffset val="100"/>
        <c:noMultiLvlLbl val="0"/>
      </c:catAx>
      <c:valAx>
        <c:axId val="634590384"/>
        <c:scaling>
          <c:logBase val="10"/>
          <c:orientation val="minMax"/>
          <c:min val="10000"/>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30112"/>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495300</xdr:colOff>
      <xdr:row>84</xdr:row>
      <xdr:rowOff>12700</xdr:rowOff>
    </xdr:from>
    <xdr:to>
      <xdr:col>24</xdr:col>
      <xdr:colOff>762000</xdr:colOff>
      <xdr:row>103</xdr:row>
      <xdr:rowOff>19050</xdr:rowOff>
    </xdr:to>
    <xdr:graphicFrame macro="">
      <xdr:nvGraphicFramePr>
        <xdr:cNvPr id="3" name="Chart 2">
          <a:extLst>
            <a:ext uri="{FF2B5EF4-FFF2-40B4-BE49-F238E27FC236}">
              <a16:creationId xmlns:a16="http://schemas.microsoft.com/office/drawing/2014/main" id="{751B1BCF-2AB2-196E-F629-2C7E42570C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0</xdr:colOff>
      <xdr:row>84</xdr:row>
      <xdr:rowOff>50800</xdr:rowOff>
    </xdr:from>
    <xdr:to>
      <xdr:col>44</xdr:col>
      <xdr:colOff>939800</xdr:colOff>
      <xdr:row>103</xdr:row>
      <xdr:rowOff>0</xdr:rowOff>
    </xdr:to>
    <xdr:graphicFrame macro="">
      <xdr:nvGraphicFramePr>
        <xdr:cNvPr id="4" name="Chart 3">
          <a:extLst>
            <a:ext uri="{FF2B5EF4-FFF2-40B4-BE49-F238E27FC236}">
              <a16:creationId xmlns:a16="http://schemas.microsoft.com/office/drawing/2014/main" id="{2BAB50FC-A554-723E-8F0B-B4E86B7552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102</xdr:col>
      <xdr:colOff>304800</xdr:colOff>
      <xdr:row>10</xdr:row>
      <xdr:rowOff>184150</xdr:rowOff>
    </xdr:from>
    <xdr:to>
      <xdr:col>113</xdr:col>
      <xdr:colOff>952500</xdr:colOff>
      <xdr:row>33</xdr:row>
      <xdr:rowOff>101600</xdr:rowOff>
    </xdr:to>
    <xdr:graphicFrame macro="">
      <xdr:nvGraphicFramePr>
        <xdr:cNvPr id="2" name="Chart 1">
          <a:extLst>
            <a:ext uri="{FF2B5EF4-FFF2-40B4-BE49-F238E27FC236}">
              <a16:creationId xmlns:a16="http://schemas.microsoft.com/office/drawing/2014/main" id="{9021528B-6897-AB8A-A22A-B5BB7BE825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he-decoder.com/stable-diffusion-xl-an-image-model-at-midjourneys-level/" TargetMode="External"/><Relationship Id="rId299" Type="http://schemas.openxmlformats.org/officeDocument/2006/relationships/hyperlink" Target="https://www.qqtube.com/blog/how-much-storage-does-youtube-have?utm_source=chatgpt.com" TargetMode="External"/><Relationship Id="rId21" Type="http://schemas.openxmlformats.org/officeDocument/2006/relationships/hyperlink" Target="https://labs.perplexity.ai/" TargetMode="External"/><Relationship Id="rId63" Type="http://schemas.openxmlformats.org/officeDocument/2006/relationships/hyperlink" Target="https://www.openphilanthropy.org/research/new-report-on-how-much-computational-power-it-takes-to-match-the-human-brain/" TargetMode="External"/><Relationship Id="rId159" Type="http://schemas.openxmlformats.org/officeDocument/2006/relationships/hyperlink" Target="https://towardsdatascience.com/how-to-deploy-and-interpret-alphafold2-with-minimal-compute-9bf75942c6d7" TargetMode="External"/><Relationship Id="rId324" Type="http://schemas.openxmlformats.org/officeDocument/2006/relationships/hyperlink" Target="https://www.youtube.com/live/_waPvOwL9Z8?si=bVrEE7ogvB8-jhs6&amp;t=8633" TargetMode="External"/><Relationship Id="rId170" Type="http://schemas.openxmlformats.org/officeDocument/2006/relationships/hyperlink" Target="https://en.wikipedia.org/wiki/GPT-3" TargetMode="External"/><Relationship Id="rId226" Type="http://schemas.openxmlformats.org/officeDocument/2006/relationships/hyperlink" Target="https://youtu.be/1WOjjgyZPj8?si=f4KA-OE7e2eDaO-h&amp;t=4440" TargetMode="External"/><Relationship Id="rId268" Type="http://schemas.openxmlformats.org/officeDocument/2006/relationships/hyperlink" Target="https://youtu.be/1WOjjgyZPj8?si=f4KA-OE7e2eDaO-h&amp;t=4440" TargetMode="External"/><Relationship Id="rId32" Type="http://schemas.openxmlformats.org/officeDocument/2006/relationships/hyperlink" Target="https://beta.dreamstudio.ai/generate" TargetMode="External"/><Relationship Id="rId74" Type="http://schemas.openxmlformats.org/officeDocument/2006/relationships/hyperlink" Target="https://en.wikipedia.org/wiki/List_of_animals_by_number_of_neurons" TargetMode="External"/><Relationship Id="rId128" Type="http://schemas.openxmlformats.org/officeDocument/2006/relationships/hyperlink" Target="https://en.wikipedia.org/wiki/AlphaZero" TargetMode="External"/><Relationship Id="rId335" Type="http://schemas.openxmlformats.org/officeDocument/2006/relationships/hyperlink" Target="https://www.uavnavigation.com/" TargetMode="External"/><Relationship Id="rId5" Type="http://schemas.openxmlformats.org/officeDocument/2006/relationships/hyperlink" Target="https://en.wikipedia.org/wiki/GPT-3" TargetMode="External"/><Relationship Id="rId181" Type="http://schemas.openxmlformats.org/officeDocument/2006/relationships/hyperlink" Target="https://en.wikipedia.org/wiki/GPT-2" TargetMode="External"/><Relationship Id="rId237" Type="http://schemas.openxmlformats.org/officeDocument/2006/relationships/hyperlink" Target="https://youtu.be/1WOjjgyZPj8?si=f4KA-OE7e2eDaO-h&amp;t=4440" TargetMode="External"/><Relationship Id="rId279" Type="http://schemas.openxmlformats.org/officeDocument/2006/relationships/hyperlink" Target="https://modal.com/blog/nvidia-a100-price-article" TargetMode="External"/><Relationship Id="rId43" Type="http://schemas.openxmlformats.org/officeDocument/2006/relationships/hyperlink" Target="https://golden.com/wiki/Perplexity_AI-X9D5GWB" TargetMode="External"/><Relationship Id="rId139" Type="http://schemas.openxmlformats.org/officeDocument/2006/relationships/hyperlink" Target="https://the-decoder.com/gpt-3-5-might-be-a-strong-example-of-the-efficiency-potential-of-large-ai-models/" TargetMode="External"/><Relationship Id="rId290" Type="http://schemas.openxmlformats.org/officeDocument/2006/relationships/hyperlink" Target="https://huggingface.co/blog/mingyuliutw/nvidia-cosmos" TargetMode="External"/><Relationship Id="rId304" Type="http://schemas.openxmlformats.org/officeDocument/2006/relationships/hyperlink" Target="https://youtu.be/FHhrN-GXrF8?si=SLSweYe6vRFKpDos&amp;t=112" TargetMode="External"/><Relationship Id="rId85" Type="http://schemas.openxmlformats.org/officeDocument/2006/relationships/hyperlink" Target="https://en.wikipedia.org/wiki/List_of_animals_by_number_of_neurons" TargetMode="External"/><Relationship Id="rId150" Type="http://schemas.openxmlformats.org/officeDocument/2006/relationships/hyperlink" Target="https://www.macxdvd.com/gopro-video-processing/gopro-video-size-calculator.htm" TargetMode="External"/><Relationship Id="rId192" Type="http://schemas.openxmlformats.org/officeDocument/2006/relationships/hyperlink" Target="https://youtu.be/Ha0KrXzI4SM?si=rR5nTkbFr0o7GKmz&amp;t=30" TargetMode="External"/><Relationship Id="rId206" Type="http://schemas.openxmlformats.org/officeDocument/2006/relationships/hyperlink" Target="https://ourworldindata.org/grapher/artificial-intelligence-training-computation?country=GPT~Llama+3.1-405B" TargetMode="External"/><Relationship Id="rId248" Type="http://schemas.openxmlformats.org/officeDocument/2006/relationships/hyperlink" Target="https://docsbot.ai/models/deepseek-r1" TargetMode="External"/><Relationship Id="rId12" Type="http://schemas.openxmlformats.org/officeDocument/2006/relationships/hyperlink" Target="https://the-decoder.com/gpt-4-architecture-datasets-costs-and-more-leaked/" TargetMode="External"/><Relationship Id="rId108" Type="http://schemas.openxmlformats.org/officeDocument/2006/relationships/hyperlink" Target="https://waxy.org/2022/08/exploring-12-million-of-the-images-used-to-train-stable-diffusions-image-generator/" TargetMode="External"/><Relationship Id="rId315" Type="http://schemas.openxmlformats.org/officeDocument/2006/relationships/hyperlink" Target="https://learn.microsoft.com/en-us/azure/ai-services/openai/concepts/models?tabs=global-standard%2Cstandard-chat-completions" TargetMode="External"/><Relationship Id="rId54" Type="http://schemas.openxmlformats.org/officeDocument/2006/relationships/hyperlink" Target="https://www.worldometers.info/world-population/" TargetMode="External"/><Relationship Id="rId96" Type="http://schemas.openxmlformats.org/officeDocument/2006/relationships/hyperlink" Target="https://en.wikipedia.org/wiki/Metric_prefix" TargetMode="External"/><Relationship Id="rId161" Type="http://schemas.openxmlformats.org/officeDocument/2006/relationships/hyperlink" Target="https://en.wikipedia.org/wiki/Anthropic" TargetMode="External"/><Relationship Id="rId217" Type="http://schemas.openxmlformats.org/officeDocument/2006/relationships/hyperlink" Target="https://www.anthropic.com/claude" TargetMode="External"/><Relationship Id="rId259" Type="http://schemas.openxmlformats.org/officeDocument/2006/relationships/hyperlink" Target="https://meetcody.ai/blog/deepseek-r1-open-source-installation-features-pricing/" TargetMode="External"/><Relationship Id="rId23" Type="http://schemas.openxmlformats.org/officeDocument/2006/relationships/hyperlink" Target="https://en.wikipedia.org/wiki/Microsoft_Bing" TargetMode="External"/><Relationship Id="rId119" Type="http://schemas.openxmlformats.org/officeDocument/2006/relationships/hyperlink" Target="https://beta.dreamstudio.ai/generate" TargetMode="External"/><Relationship Id="rId270" Type="http://schemas.openxmlformats.org/officeDocument/2006/relationships/hyperlink" Target="https://www.flightglobal.com/military-uavs/anduril-unveils-rugged-ghost-4-recon-uav-with-radio-silent-autonomous-ops/140126.article" TargetMode="External"/><Relationship Id="rId326" Type="http://schemas.openxmlformats.org/officeDocument/2006/relationships/hyperlink" Target="https://developer.nvidia.com/blog/accelerate-generalist-humanoid-robot-development-with-nvidia-isaac-gr00t-n1/" TargetMode="External"/><Relationship Id="rId65" Type="http://schemas.openxmlformats.org/officeDocument/2006/relationships/hyperlink" Target="https://www.nih.gov/news-events/nih-research-matters/expanded-map-human-brain" TargetMode="External"/><Relationship Id="rId130" Type="http://schemas.openxmlformats.org/officeDocument/2006/relationships/hyperlink" Target="https://en.wikipedia.org/wiki/AlphaZero" TargetMode="External"/><Relationship Id="rId172" Type="http://schemas.openxmlformats.org/officeDocument/2006/relationships/hyperlink" Target="https://chat.openai.com/" TargetMode="External"/><Relationship Id="rId228" Type="http://schemas.openxmlformats.org/officeDocument/2006/relationships/hyperlink" Target="https://youtu.be/1WOjjgyZPj8?si=f4KA-OE7e2eDaO-h&amp;t=4442" TargetMode="External"/><Relationship Id="rId281" Type="http://schemas.openxmlformats.org/officeDocument/2006/relationships/hyperlink" Target="https://www.theregister.com/2023/07/21/tesla_dojo_spending/" TargetMode="External"/><Relationship Id="rId337" Type="http://schemas.openxmlformats.org/officeDocument/2006/relationships/hyperlink" Target="https://www.uavnavigation.com/products/navigation-systems/gnss-denied-navigation-kit" TargetMode="External"/><Relationship Id="rId34" Type="http://schemas.openxmlformats.org/officeDocument/2006/relationships/hyperlink" Target="https://en.wikipedia.org/wiki/DALL-E" TargetMode="External"/><Relationship Id="rId76" Type="http://schemas.openxmlformats.org/officeDocument/2006/relationships/hyperlink" Target="https://en.wikipedia.org/wiki/LLaMA" TargetMode="External"/><Relationship Id="rId141" Type="http://schemas.openxmlformats.org/officeDocument/2006/relationships/hyperlink" Target="https://www.cnbc.com/2023/11/05/elon-musk-debuts-grok-ai-bot-to-rival-chatgpt-others-.html" TargetMode="External"/><Relationship Id="rId7" Type="http://schemas.openxmlformats.org/officeDocument/2006/relationships/hyperlink" Target="https://en.wikipedia.org/wiki/GPT-3" TargetMode="External"/><Relationship Id="rId183" Type="http://schemas.openxmlformats.org/officeDocument/2006/relationships/hyperlink" Target="https://www.creatosaurus.io/blog/openai-o1-preview-model" TargetMode="External"/><Relationship Id="rId239" Type="http://schemas.openxmlformats.org/officeDocument/2006/relationships/hyperlink" Target="https://youtu.be/1WOjjgyZPj8?si=f4KA-OE7e2eDaO-h&amp;t=4455" TargetMode="External"/><Relationship Id="rId250" Type="http://schemas.openxmlformats.org/officeDocument/2006/relationships/hyperlink" Target="https://dataloop.ai/library/model/nvidia_nemotron-4-340b-base/" TargetMode="External"/><Relationship Id="rId292" Type="http://schemas.openxmlformats.org/officeDocument/2006/relationships/hyperlink" Target="https://ourworldindata.org/grapher/artificial-intelligence-training-computation?country=GPT~Llama+3.1-405B" TargetMode="External"/><Relationship Id="rId306" Type="http://schemas.openxmlformats.org/officeDocument/2006/relationships/hyperlink" Target="https://youtu.be/1WOjjgyZPj8?si=f4KA-OE7e2eDaO-h&amp;t=4440" TargetMode="External"/><Relationship Id="rId45" Type="http://schemas.openxmlformats.org/officeDocument/2006/relationships/hyperlink" Target="https://www.omnicalculator.com/other/video-size" TargetMode="External"/><Relationship Id="rId87" Type="http://schemas.openxmlformats.org/officeDocument/2006/relationships/hyperlink" Target="https://www.nih.gov/news-events/nih-research-matters/expanded-map-human-brain" TargetMode="External"/><Relationship Id="rId110" Type="http://schemas.openxmlformats.org/officeDocument/2006/relationships/hyperlink" Target="https://www.omnicalculator.com/other/audio-file-size" TargetMode="External"/><Relationship Id="rId152" Type="http://schemas.openxmlformats.org/officeDocument/2006/relationships/hyperlink" Target="https://en.wikipedia.org/wiki/List_of_animals_by_number_of_neurons" TargetMode="External"/><Relationship Id="rId173" Type="http://schemas.openxmlformats.org/officeDocument/2006/relationships/hyperlink" Target="https://en.wikipedia.org/wiki/GPT-3" TargetMode="External"/><Relationship Id="rId194" Type="http://schemas.openxmlformats.org/officeDocument/2006/relationships/hyperlink" Target="https://huggingface.co/stabilityai/stable-diffusion-2-1" TargetMode="External"/><Relationship Id="rId208" Type="http://schemas.openxmlformats.org/officeDocument/2006/relationships/hyperlink" Target="https://huggingface.co/blog/mingyuliutw/nvidia-cosmos" TargetMode="External"/><Relationship Id="rId229" Type="http://schemas.openxmlformats.org/officeDocument/2006/relationships/hyperlink" Target="https://youtu.be/1WOjjgyZPj8?si=f4KA-OE7e2eDaO-h&amp;t=4440" TargetMode="External"/><Relationship Id="rId240" Type="http://schemas.openxmlformats.org/officeDocument/2006/relationships/hyperlink" Target="https://youtu.be/1WOjjgyZPj8?si=f4KA-OE7e2eDaO-h&amp;t=4440" TargetMode="External"/><Relationship Id="rId261" Type="http://schemas.openxmlformats.org/officeDocument/2006/relationships/hyperlink" Target="https://aiexpjourney.substack.com/p/the-number-of-parameters-of-gpt-4o" TargetMode="External"/><Relationship Id="rId14" Type="http://schemas.openxmlformats.org/officeDocument/2006/relationships/hyperlink" Target="https://bard.google.com/" TargetMode="External"/><Relationship Id="rId35" Type="http://schemas.openxmlformats.org/officeDocument/2006/relationships/hyperlink" Target="https://labs.openai.com/" TargetMode="External"/><Relationship Id="rId56" Type="http://schemas.openxmlformats.org/officeDocument/2006/relationships/hyperlink" Target="https://convertlive.com/u/convert/bits/to/bytes" TargetMode="External"/><Relationship Id="rId77" Type="http://schemas.openxmlformats.org/officeDocument/2006/relationships/hyperlink" Target="https://en.wikipedia.org/wiki/LLaMA" TargetMode="External"/><Relationship Id="rId100" Type="http://schemas.openxmlformats.org/officeDocument/2006/relationships/hyperlink" Target="https://en.wikipedia.org/wiki/PaLM" TargetMode="External"/><Relationship Id="rId282" Type="http://schemas.openxmlformats.org/officeDocument/2006/relationships/hyperlink" Target="https://twitter.com/tim_zaman/status/1695488119729238147" TargetMode="External"/><Relationship Id="rId317" Type="http://schemas.openxmlformats.org/officeDocument/2006/relationships/hyperlink" Target="https://wayve.ai/press/series-c/?utm_source=chatgpt.com" TargetMode="External"/><Relationship Id="rId338" Type="http://schemas.openxmlformats.org/officeDocument/2006/relationships/hyperlink" Target="https://ourworldindata.org/grapher/artificial-intelligence-training-computation?country=GPT-1~GPT~GPT-2+%281.5B%29~GPT-3+175B+%28davinci%30" TargetMode="External"/><Relationship Id="rId8" Type="http://schemas.openxmlformats.org/officeDocument/2006/relationships/hyperlink" Target="https://www.semafor.com/article/03/24/2023/the-secret-history-of-elon-musk-sam-altman-and-openai" TargetMode="External"/><Relationship Id="rId98" Type="http://schemas.openxmlformats.org/officeDocument/2006/relationships/hyperlink" Target="https://en.wikipedia.org/wiki/PaLM" TargetMode="External"/><Relationship Id="rId121" Type="http://schemas.openxmlformats.org/officeDocument/2006/relationships/hyperlink" Target="https://the-decoder.com/stable-diffusion-xl-an-image-model-at-midjourneys-level/" TargetMode="External"/><Relationship Id="rId142" Type="http://schemas.openxmlformats.org/officeDocument/2006/relationships/hyperlink" Target="https://www.anthropic.com/news/claude-3-family" TargetMode="External"/><Relationship Id="rId163" Type="http://schemas.openxmlformats.org/officeDocument/2006/relationships/hyperlink" Target="https://www.amazon.com/KingSpec-Gen4x4-Speed-Internal-PCIe4-0/dp/B0C58GTGPM?th=1" TargetMode="External"/><Relationship Id="rId184" Type="http://schemas.openxmlformats.org/officeDocument/2006/relationships/hyperlink" Target="https://en.wikipedia.org/wiki/List_of_animals_by_number_of_neurons" TargetMode="External"/><Relationship Id="rId219" Type="http://schemas.openxmlformats.org/officeDocument/2006/relationships/hyperlink" Target="https://youtu.be/1WOjjgyZPj8?si=f4KA-OE7e2eDaO-h&amp;t=4440" TargetMode="External"/><Relationship Id="rId230" Type="http://schemas.openxmlformats.org/officeDocument/2006/relationships/hyperlink" Target="https://youtu.be/1WOjjgyZPj8?si=f4KA-OE7e2eDaO-h&amp;t=4440" TargetMode="External"/><Relationship Id="rId251" Type="http://schemas.openxmlformats.org/officeDocument/2006/relationships/hyperlink" Target="https://en.wikipedia.org/wiki/List_of_animals_by_number_of_neurons" TargetMode="External"/><Relationship Id="rId25" Type="http://schemas.openxmlformats.org/officeDocument/2006/relationships/hyperlink" Target="https://en.wikipedia.org/wiki/Anthropic" TargetMode="External"/><Relationship Id="rId46" Type="http://schemas.openxmlformats.org/officeDocument/2006/relationships/hyperlink" Target="https://en.wikipedia.org/wiki/Human_evolution" TargetMode="External"/><Relationship Id="rId67" Type="http://schemas.openxmlformats.org/officeDocument/2006/relationships/hyperlink" Target="https://ai.meta.com/blog/large-language-model-llama-meta-ai/" TargetMode="External"/><Relationship Id="rId272" Type="http://schemas.openxmlformats.org/officeDocument/2006/relationships/hyperlink" Target="https://youtu.be/Gb4CTesCnk4?si=ukAmb87_NOlO-Fmv&amp;t=2" TargetMode="External"/><Relationship Id="rId293" Type="http://schemas.openxmlformats.org/officeDocument/2006/relationships/hyperlink" Target="http://www.chatgpt.com/" TargetMode="External"/><Relationship Id="rId307" Type="http://schemas.openxmlformats.org/officeDocument/2006/relationships/hyperlink" Target="https://codingmall.com/knowledge-base/25-global/240733-what-are-the-system-requirements-for-running-deepseek-models-locally" TargetMode="External"/><Relationship Id="rId328" Type="http://schemas.openxmlformats.org/officeDocument/2006/relationships/hyperlink" Target="https://www.youtube.com/watch?v=dVYuDXLxR0k" TargetMode="External"/><Relationship Id="rId88" Type="http://schemas.openxmlformats.org/officeDocument/2006/relationships/hyperlink" Target="https://www.dell.com/en-us/shop/workstations-isv-certified/precision-7920-tower-workstation/spd/precision-7920-workstation/xctopt7920us_4?configurationid=3eb87352-f557-4fff-abfe-5a9a62aa8b6a" TargetMode="External"/><Relationship Id="rId111" Type="http://schemas.openxmlformats.org/officeDocument/2006/relationships/hyperlink" Target="https://www.youtube.com/watch?v=e5xxejlecLs" TargetMode="External"/><Relationship Id="rId132" Type="http://schemas.openxmlformats.org/officeDocument/2006/relationships/hyperlink" Target="https://en.wikipedia.org/wiki/AlphaFold" TargetMode="External"/><Relationship Id="rId153" Type="http://schemas.openxmlformats.org/officeDocument/2006/relationships/hyperlink" Target="https://northernlightswildlife.com/learn-about-wolves/" TargetMode="External"/><Relationship Id="rId174" Type="http://schemas.openxmlformats.org/officeDocument/2006/relationships/hyperlink" Target="https://en.wikipedia.org/wiki/GPT-3" TargetMode="External"/><Relationship Id="rId195" Type="http://schemas.openxmlformats.org/officeDocument/2006/relationships/hyperlink" Target="https://youtu.be/fKXztwtXaGo?si=YhpgsxHENr8s560Y" TargetMode="External"/><Relationship Id="rId209" Type="http://schemas.openxmlformats.org/officeDocument/2006/relationships/hyperlink" Target="https://thelastdriverlicenseholder.com/2024/08/01/costs-of-waymo-rides/" TargetMode="External"/><Relationship Id="rId220" Type="http://schemas.openxmlformats.org/officeDocument/2006/relationships/hyperlink" Target="https://youtu.be/1WOjjgyZPj8?si=f4KA-OE7e2eDaO-h&amp;t=4440" TargetMode="External"/><Relationship Id="rId241" Type="http://schemas.openxmlformats.org/officeDocument/2006/relationships/hyperlink" Target="https://youtu.be/1WOjjgyZPj8?si=f4KA-OE7e2eDaO-h&amp;t=4440" TargetMode="External"/><Relationship Id="rId15" Type="http://schemas.openxmlformats.org/officeDocument/2006/relationships/hyperlink" Target="https://bard.google.com/" TargetMode="External"/><Relationship Id="rId36" Type="http://schemas.openxmlformats.org/officeDocument/2006/relationships/hyperlink" Target="https://labs.openai.com/" TargetMode="External"/><Relationship Id="rId57" Type="http://schemas.openxmlformats.org/officeDocument/2006/relationships/hyperlink" Target="https://en.wikipedia.org/wiki/Neuron" TargetMode="External"/><Relationship Id="rId262" Type="http://schemas.openxmlformats.org/officeDocument/2006/relationships/hyperlink" Target="https://docsbot.ai/models/deepseek-r1" TargetMode="External"/><Relationship Id="rId283" Type="http://schemas.openxmlformats.org/officeDocument/2006/relationships/hyperlink" Target="https://youtu.be/FHhrN-GXrF8?si=SLSweYe6vRFKpDos&amp;t=112" TargetMode="External"/><Relationship Id="rId318" Type="http://schemas.openxmlformats.org/officeDocument/2006/relationships/hyperlink" Target="https://youtu.be/8VXlseU6iYM?si=TWC337MHXjd5zyXE&amp;t=1293" TargetMode="External"/><Relationship Id="rId339" Type="http://schemas.openxmlformats.org/officeDocument/2006/relationships/printerSettings" Target="../printerSettings/printerSettings1.bin"/><Relationship Id="rId78" Type="http://schemas.openxmlformats.org/officeDocument/2006/relationships/hyperlink" Target="https://en.wikipedia.org/wiki/LLaMA" TargetMode="External"/><Relationship Id="rId99" Type="http://schemas.openxmlformats.org/officeDocument/2006/relationships/hyperlink" Target="https://en.wikipedia.org/wiki/PaLM" TargetMode="External"/><Relationship Id="rId101" Type="http://schemas.openxmlformats.org/officeDocument/2006/relationships/hyperlink" Target="https://youtu.be/1WOjjgyZPj8?si=f4KA-OE7e2eDaO-h&amp;t=4440" TargetMode="External"/><Relationship Id="rId122" Type="http://schemas.openxmlformats.org/officeDocument/2006/relationships/hyperlink" Target="https://en.wikipedia.org/wiki/Stable_Diffusion" TargetMode="External"/><Relationship Id="rId143" Type="http://schemas.openxmlformats.org/officeDocument/2006/relationships/hyperlink" Target="https://www.substratus.ai/blog/calculating-gpu-memory-for-llm/" TargetMode="External"/><Relationship Id="rId164" Type="http://schemas.openxmlformats.org/officeDocument/2006/relationships/hyperlink" Target="https://www.amazon.com/KingSpec-Gen4x4-Speed-Internal-PCIe4-0/dp/B0C58GTGPM?th=1" TargetMode="External"/><Relationship Id="rId185" Type="http://schemas.openxmlformats.org/officeDocument/2006/relationships/hyperlink" Target="https://en.wikipedia.org/wiki/List_of_animals_by_number_of_neurons" TargetMode="External"/><Relationship Id="rId9" Type="http://schemas.openxmlformats.org/officeDocument/2006/relationships/hyperlink" Target="https://the-decoder.com/gpt-4-architecture-datasets-costs-and-more-leaked/" TargetMode="External"/><Relationship Id="rId210" Type="http://schemas.openxmlformats.org/officeDocument/2006/relationships/hyperlink" Target="https://huggingface.co/blog/mingyuliutw/nvidia-cosmos" TargetMode="External"/><Relationship Id="rId26" Type="http://schemas.openxmlformats.org/officeDocument/2006/relationships/hyperlink" Target="https://en.wikipedia.org/wiki/Bard_(chatbot)" TargetMode="External"/><Relationship Id="rId231" Type="http://schemas.openxmlformats.org/officeDocument/2006/relationships/hyperlink" Target="https://youtu.be/1WOjjgyZPj8?si=f4KA-OE7e2eDaO-h&amp;t=4440" TargetMode="External"/><Relationship Id="rId252" Type="http://schemas.openxmlformats.org/officeDocument/2006/relationships/hyperlink" Target="https://en.wikipedia.org/wiki/List_of_animals_by_number_of_neurons" TargetMode="External"/><Relationship Id="rId273" Type="http://schemas.openxmlformats.org/officeDocument/2006/relationships/hyperlink" Target="https://aws.amazon.com/blogs/machine-learning/deploy-deepseek-r1-distilled-llama-models-in-amazon-bedrock/" TargetMode="External"/><Relationship Id="rId294" Type="http://schemas.openxmlformats.org/officeDocument/2006/relationships/hyperlink" Target="https://en.wikipedia.org/wiki/GPT-2" TargetMode="External"/><Relationship Id="rId308" Type="http://schemas.openxmlformats.org/officeDocument/2006/relationships/hyperlink" Target="https://codingmall.com/knowledge-base/25-global/240733-what-are-the-system-requirements-for-running-deepseek-models-locally%20(I%20divide%20by%20two%20to%20get%20RAM%20need%20for%20model%20run%20as%20FP8%20as%20Deepseek%20say%20they%20do%20to%20get%20the%20cost%20down)" TargetMode="External"/><Relationship Id="rId329" Type="http://schemas.openxmlformats.org/officeDocument/2006/relationships/hyperlink" Target="https://www.nvidia.com/en-us/self-driving-cars/in-vehicle-computing/" TargetMode="External"/><Relationship Id="rId47" Type="http://schemas.openxmlformats.org/officeDocument/2006/relationships/hyperlink" Target="https://www.beren.io/2022-08-06-The-scale-of-the-brain-vs-machine-learning/" TargetMode="External"/><Relationship Id="rId68" Type="http://schemas.openxmlformats.org/officeDocument/2006/relationships/hyperlink" Target="https://ai.meta.com/blog/large-language-model-llama-meta-ai/" TargetMode="External"/><Relationship Id="rId89" Type="http://schemas.openxmlformats.org/officeDocument/2006/relationships/hyperlink" Target="https://ourworldindata.org/grapher/historical-cost-of-computer-memory-and-storage" TargetMode="External"/><Relationship Id="rId112" Type="http://schemas.openxmlformats.org/officeDocument/2006/relationships/hyperlink" Target="https://www.youtube.com/watch?v=INawFGUy-nU" TargetMode="External"/><Relationship Id="rId133" Type="http://schemas.openxmlformats.org/officeDocument/2006/relationships/hyperlink" Target="https://en.wikipedia.org/wiki/AlphaFold" TargetMode="External"/><Relationship Id="rId154" Type="http://schemas.openxmlformats.org/officeDocument/2006/relationships/hyperlink" Target="https://x.com/reach_vb/status/1801648142963577103?ref_src=twsrc%5Etfw%7Ctwcamp%5Etweetembed%7Ctwterm%5E1801662289780822100%7Ctwgr%5Ee356aa4e988e30c7664c1990e8512ba9b1bb4980%7Ctwcon%5Es3_&amp;ref_url=https%3A%2F%2Fventurebeat.com%2Fai%2Fnvidias-nemotron-4-340b-model-redefines-synthetic-data-generation-rivals-gpt-4%2F" TargetMode="External"/><Relationship Id="rId175" Type="http://schemas.openxmlformats.org/officeDocument/2006/relationships/hyperlink" Target="https://en.wikipedia.org/wiki/GPT-1" TargetMode="External"/><Relationship Id="rId196" Type="http://schemas.openxmlformats.org/officeDocument/2006/relationships/hyperlink" Target="https://youtu.be/OopTOjnD3qY?si=tzIOvAm_kvBZRmsZ" TargetMode="External"/><Relationship Id="rId200" Type="http://schemas.openxmlformats.org/officeDocument/2006/relationships/hyperlink" Target="https://youtu.be/0SRVJaOg9Co?si=88KsVKansUH8rnLH" TargetMode="External"/><Relationship Id="rId16" Type="http://schemas.openxmlformats.org/officeDocument/2006/relationships/hyperlink" Target="https://the-decoder.com/gpt-4-architecture-datasets-costs-and-more-leaked/" TargetMode="External"/><Relationship Id="rId221" Type="http://schemas.openxmlformats.org/officeDocument/2006/relationships/hyperlink" Target="https://youtu.be/1WOjjgyZPj8?si=f4KA-OE7e2eDaO-h&amp;t=4440" TargetMode="External"/><Relationship Id="rId242" Type="http://schemas.openxmlformats.org/officeDocument/2006/relationships/hyperlink" Target="https://youtu.be/1WOjjgyZPj8?si=f4KA-OE7e2eDaO-h&amp;t=4440" TargetMode="External"/><Relationship Id="rId263" Type="http://schemas.openxmlformats.org/officeDocument/2006/relationships/hyperlink" Target="https://x.com/HMexperienceDK/status/1847992543545331734" TargetMode="External"/><Relationship Id="rId284" Type="http://schemas.openxmlformats.org/officeDocument/2006/relationships/hyperlink" Target="https://x.com/Tesla/status/1577073136847048704" TargetMode="External"/><Relationship Id="rId319" Type="http://schemas.openxmlformats.org/officeDocument/2006/relationships/hyperlink" Target="https://www.hashtechwave.com/openai-upgrades-explained-o1-preview-o1-mini/" TargetMode="External"/><Relationship Id="rId37" Type="http://schemas.openxmlformats.org/officeDocument/2006/relationships/hyperlink" Target="https://en.wikipedia.org/wiki/DALL-E" TargetMode="External"/><Relationship Id="rId58" Type="http://schemas.openxmlformats.org/officeDocument/2006/relationships/hyperlink" Target="https://en.wikipedia.org/wiki/Neuron" TargetMode="External"/><Relationship Id="rId79" Type="http://schemas.openxmlformats.org/officeDocument/2006/relationships/hyperlink" Target="https://en.wikipedia.org/wiki/LLaMA" TargetMode="External"/><Relationship Id="rId102" Type="http://schemas.openxmlformats.org/officeDocument/2006/relationships/hyperlink" Target="https://en.wikipedia.org/wiki/PaLM" TargetMode="External"/><Relationship Id="rId123" Type="http://schemas.openxmlformats.org/officeDocument/2006/relationships/hyperlink" Target="https://waxy.org/2022/08/exploring-12-million-of-the-images-used-to-train-stable-diffusions-image-generator/" TargetMode="External"/><Relationship Id="rId144" Type="http://schemas.openxmlformats.org/officeDocument/2006/relationships/hyperlink" Target="https://en.wikipedia.org/wiki/Large_language_model" TargetMode="External"/><Relationship Id="rId330" Type="http://schemas.openxmlformats.org/officeDocument/2006/relationships/hyperlink" Target="https://helsing.ai/newsroom/helsing-and-mistral-announce-strategic-partnership-in-defence-ai?utm_source=chatgpt.com" TargetMode="External"/><Relationship Id="rId90" Type="http://schemas.openxmlformats.org/officeDocument/2006/relationships/hyperlink" Target="https://the-decoder.com/gpt-4-architecture-datasets-costs-and-more-leaked/" TargetMode="External"/><Relationship Id="rId165" Type="http://schemas.openxmlformats.org/officeDocument/2006/relationships/hyperlink" Target="https://www.amazon.com/KingSpec-Gen4x4-Speed-Internal-PCIe4-0/dp/B0C58GTGPM?th=1" TargetMode="External"/><Relationship Id="rId186" Type="http://schemas.openxmlformats.org/officeDocument/2006/relationships/hyperlink" Target="https://arxiv.org/abs/1906.01703" TargetMode="External"/><Relationship Id="rId211" Type="http://schemas.openxmlformats.org/officeDocument/2006/relationships/hyperlink" Target="https://www.youtube.com/live/k82RwXqZHY8?si=cAuh57MZ8KLCQXRK&amp;t=3134" TargetMode="External"/><Relationship Id="rId232" Type="http://schemas.openxmlformats.org/officeDocument/2006/relationships/hyperlink" Target="https://youtu.be/1WOjjgyZPj8?si=f4KA-OE7e2eDaO-h&amp;t=4440" TargetMode="External"/><Relationship Id="rId253" Type="http://schemas.openxmlformats.org/officeDocument/2006/relationships/hyperlink" Target="https://youtu.be/soRPRHypThI?si=QjSNtGJvjjn9Vb4G&amp;t=272" TargetMode="External"/><Relationship Id="rId274" Type="http://schemas.openxmlformats.org/officeDocument/2006/relationships/hyperlink" Target="https://platform.openai.com/docs/pricing" TargetMode="External"/><Relationship Id="rId295" Type="http://schemas.openxmlformats.org/officeDocument/2006/relationships/hyperlink" Target="https://ourworldindata.org/grapher/artificial-intelligence-training-computation?country=GPT~Llama+3.1-405B" TargetMode="External"/><Relationship Id="rId309" Type="http://schemas.openxmlformats.org/officeDocument/2006/relationships/hyperlink" Target="https://en.wikipedia.org/wiki/Gemini_(language_model)" TargetMode="External"/><Relationship Id="rId27" Type="http://schemas.openxmlformats.org/officeDocument/2006/relationships/hyperlink" Target="https://en.wikipedia.org/wiki/Bard_(chatbot)" TargetMode="External"/><Relationship Id="rId48" Type="http://schemas.openxmlformats.org/officeDocument/2006/relationships/hyperlink" Target="https://bdtechtalks.com/2020/06/22/direct-fit-artificial-neural-networks/" TargetMode="External"/><Relationship Id="rId69" Type="http://schemas.openxmlformats.org/officeDocument/2006/relationships/hyperlink" Target="https://ai.meta.com/blog/large-language-model-llama-meta-ai/" TargetMode="External"/><Relationship Id="rId113" Type="http://schemas.openxmlformats.org/officeDocument/2006/relationships/hyperlink" Target="https://deepgram.com/learn/whisper-issues-smart-formatting" TargetMode="External"/><Relationship Id="rId134" Type="http://schemas.openxmlformats.org/officeDocument/2006/relationships/hyperlink" Target="https://towardsdatascience.com/how-to-deploy-and-interpret-alphafold2-with-minimal-compute-9bf75942c6d7" TargetMode="External"/><Relationship Id="rId320" Type="http://schemas.openxmlformats.org/officeDocument/2006/relationships/hyperlink" Target="https://www.reddit.com/r/LocalLLaMA/comments/1ebz4rt/gpt_4o_mini_size_about_8b/" TargetMode="External"/><Relationship Id="rId80" Type="http://schemas.openxmlformats.org/officeDocument/2006/relationships/hyperlink" Target="https://www.engadget.com/samsung-unveils-a-512-gb-ddr-5-ram-module-102447443.html" TargetMode="External"/><Relationship Id="rId155" Type="http://schemas.openxmlformats.org/officeDocument/2006/relationships/hyperlink" Target="https://x.com/reach_vb/status/1801648142963577103?ref_src=twsrc%5Etfw%7Ctwcamp%5Etweetembed%7Ctwterm%5E1801662289780822100%7Ctwgr%5Ee356aa4e988e30c7664c1990e8512ba9b1bb4980%7Ctwcon%5Es3_&amp;ref_url=https%3A%2F%2Fventurebeat.com%2Fai%2Fnvidias-nemotron-4-340b-model-redefines-synthetic-data-generation-rivals-gpt-4%2F" TargetMode="External"/><Relationship Id="rId176" Type="http://schemas.openxmlformats.org/officeDocument/2006/relationships/hyperlink" Target="https://en.wikipedia.org/wiki/GPT-2" TargetMode="External"/><Relationship Id="rId197" Type="http://schemas.openxmlformats.org/officeDocument/2006/relationships/hyperlink" Target="https://youtu.be/cpraXaw7dyc?si=-CjynClKa4yIn2oY&amp;t=24" TargetMode="External"/><Relationship Id="rId201" Type="http://schemas.openxmlformats.org/officeDocument/2006/relationships/hyperlink" Target="https://news.fsu.edu/news/science-technology/2017/08/09/fruit-fly-mutation-foretells-40-million-years-evolution/" TargetMode="External"/><Relationship Id="rId222" Type="http://schemas.openxmlformats.org/officeDocument/2006/relationships/hyperlink" Target="https://youtu.be/1WOjjgyZPj8?si=f4KA-OE7e2eDaO-h&amp;t=4440" TargetMode="External"/><Relationship Id="rId243" Type="http://schemas.openxmlformats.org/officeDocument/2006/relationships/hyperlink" Target="https://youtu.be/1WOjjgyZPj8?si=f4KA-OE7e2eDaO-h&amp;t=4440" TargetMode="External"/><Relationship Id="rId264" Type="http://schemas.openxmlformats.org/officeDocument/2006/relationships/hyperlink" Target="https://x.com/HMexperienceDK/status/1847992543545331734" TargetMode="External"/><Relationship Id="rId285" Type="http://schemas.openxmlformats.org/officeDocument/2006/relationships/hyperlink" Target="https://x.com/Tesla/status/1577073136847048704" TargetMode="External"/><Relationship Id="rId17" Type="http://schemas.openxmlformats.org/officeDocument/2006/relationships/hyperlink" Target="https://ai.meta.com/llama/" TargetMode="External"/><Relationship Id="rId38" Type="http://schemas.openxmlformats.org/officeDocument/2006/relationships/hyperlink" Target="https://www.howtogeek.com/853529/hardware-for-stable-diffusion/" TargetMode="External"/><Relationship Id="rId59" Type="http://schemas.openxmlformats.org/officeDocument/2006/relationships/hyperlink" Target="http://www.fhi.ox.ac.uk/brain-emulation-roadmap-report.pdf" TargetMode="External"/><Relationship Id="rId103" Type="http://schemas.openxmlformats.org/officeDocument/2006/relationships/hyperlink" Target="https://sites.research.google/usm/" TargetMode="External"/><Relationship Id="rId124" Type="http://schemas.openxmlformats.org/officeDocument/2006/relationships/hyperlink" Target="https://huggingface.co/datasets/laion/laion2B-en" TargetMode="External"/><Relationship Id="rId310" Type="http://schemas.openxmlformats.org/officeDocument/2006/relationships/hyperlink" Target="https://www.microsoft.com/en-us/research/blog/mattergen-a-new-paradigm-of-materials-design-with-generative-ai/?utm_source=chatgpt.com" TargetMode="External"/><Relationship Id="rId70" Type="http://schemas.openxmlformats.org/officeDocument/2006/relationships/hyperlink" Target="https://ai.meta.com/blog/large-language-model-llama-meta-ai/" TargetMode="External"/><Relationship Id="rId91" Type="http://schemas.openxmlformats.org/officeDocument/2006/relationships/hyperlink" Target="https://www.youtube.com/watch?v=Y6Sgp7y178k&amp;t=115s" TargetMode="External"/><Relationship Id="rId145" Type="http://schemas.openxmlformats.org/officeDocument/2006/relationships/hyperlink" Target="https://youtu.be/8VXlseU6iYM?si=TWC337MHXjd5zyXE&amp;t=1293" TargetMode="External"/><Relationship Id="rId166" Type="http://schemas.openxmlformats.org/officeDocument/2006/relationships/hyperlink" Target="https://youtu.be/1WOjjgyZPj8?si=f4KA-OE7e2eDaO-h&amp;t=4440" TargetMode="External"/><Relationship Id="rId187" Type="http://schemas.openxmlformats.org/officeDocument/2006/relationships/hyperlink" Target="https://www.youtube.com/watch?v=Y6Sgp7y178k&amp;t=177s" TargetMode="External"/><Relationship Id="rId331" Type="http://schemas.openxmlformats.org/officeDocument/2006/relationships/hyperlink" Target="https://platform.openai.com/docs/pricing" TargetMode="External"/><Relationship Id="rId1" Type="http://schemas.openxmlformats.org/officeDocument/2006/relationships/hyperlink" Target="https://www.digitaltrends.com/computing/gpt-4-vs-gpt-35/" TargetMode="External"/><Relationship Id="rId212" Type="http://schemas.openxmlformats.org/officeDocument/2006/relationships/hyperlink" Target="https://www.youtube.com/live/k82RwXqZHY8?si=dqkfdtDbuEmko3Pz&amp;t=3310" TargetMode="External"/><Relationship Id="rId233" Type="http://schemas.openxmlformats.org/officeDocument/2006/relationships/hyperlink" Target="https://youtu.be/1WOjjgyZPj8?si=f4KA-OE7e2eDaO-h&amp;t=4440" TargetMode="External"/><Relationship Id="rId254" Type="http://schemas.openxmlformats.org/officeDocument/2006/relationships/hyperlink" Target="https://ourworldindata.org/grapher/artificial-intelligence-training-computation?country=GPT-1~GPT~GPT-2+%281.5B%29~GPT-3+175B+%28davinci%30" TargetMode="External"/><Relationship Id="rId28" Type="http://schemas.openxmlformats.org/officeDocument/2006/relationships/hyperlink" Target="https://en.wikipedia.org/wiki/LaMDA" TargetMode="External"/><Relationship Id="rId49" Type="http://schemas.openxmlformats.org/officeDocument/2006/relationships/hyperlink" Target="https://www.lesswrong.com/posts/7htxRA4TkHERiuPYK/parameter-vs-synapse" TargetMode="External"/><Relationship Id="rId114" Type="http://schemas.openxmlformats.org/officeDocument/2006/relationships/hyperlink" Target="https://deepgram.com/learn/whisper-issues-smart-formatting" TargetMode="External"/><Relationship Id="rId275" Type="http://schemas.openxmlformats.org/officeDocument/2006/relationships/hyperlink" Target="https://nebius.com/prices" TargetMode="External"/><Relationship Id="rId296" Type="http://schemas.openxmlformats.org/officeDocument/2006/relationships/hyperlink" Target="https://www.yuzeh.com/data/agz-cost.html" TargetMode="External"/><Relationship Id="rId300" Type="http://schemas.openxmlformats.org/officeDocument/2006/relationships/hyperlink" Target="https://youtu.be/FHhrN-GXrF8?si=SLSweYe6vRFKpDos&amp;t=112" TargetMode="External"/><Relationship Id="rId60" Type="http://schemas.openxmlformats.org/officeDocument/2006/relationships/hyperlink" Target="https://www.khanacademy.org/test-prep/mcat/organ-systems/neural-synapses/a/signal-propagation-the-movement-of-signals-between-neurons" TargetMode="External"/><Relationship Id="rId81" Type="http://schemas.openxmlformats.org/officeDocument/2006/relationships/hyperlink" Target="https://en.wikipedia.org/wiki/DDR5_SDRAM" TargetMode="External"/><Relationship Id="rId135" Type="http://schemas.openxmlformats.org/officeDocument/2006/relationships/hyperlink" Target="https://towardsdatascience.com/how-to-deploy-and-interpret-alphafold2-with-minimal-compute-9bf75942c6d7" TargetMode="External"/><Relationship Id="rId156" Type="http://schemas.openxmlformats.org/officeDocument/2006/relationships/hyperlink" Target="https://about.ideogram.ai/1.0" TargetMode="External"/><Relationship Id="rId177" Type="http://schemas.openxmlformats.org/officeDocument/2006/relationships/hyperlink" Target="https://en.wikipedia.org/wiki/GPT-1" TargetMode="External"/><Relationship Id="rId198" Type="http://schemas.openxmlformats.org/officeDocument/2006/relationships/hyperlink" Target="https://youtu.be/Q9Ze7OSfZzE?si=pbBVTOYkHII_MtpO" TargetMode="External"/><Relationship Id="rId321" Type="http://schemas.openxmlformats.org/officeDocument/2006/relationships/hyperlink" Target="https://www.youtube.com/watch?v=743hskjFraE" TargetMode="External"/><Relationship Id="rId202" Type="http://schemas.openxmlformats.org/officeDocument/2006/relationships/hyperlink" Target="https://youtu.be/0AgAcarLnU4?si=g77Hs0Y7EijhY_EJ&amp;t=277" TargetMode="External"/><Relationship Id="rId223" Type="http://schemas.openxmlformats.org/officeDocument/2006/relationships/hyperlink" Target="https://youtu.be/1WOjjgyZPj8?si=f4KA-OE7e2eDaO-h&amp;t=4440" TargetMode="External"/><Relationship Id="rId244" Type="http://schemas.openxmlformats.org/officeDocument/2006/relationships/hyperlink" Target="https://www.theverge.com/2024/12/5/24314147/openai-reasoning-model-o1-strawberry-chatgpt-pro-new-tier" TargetMode="External"/><Relationship Id="rId18" Type="http://schemas.openxmlformats.org/officeDocument/2006/relationships/hyperlink" Target="https://www.perplexity.ai/" TargetMode="External"/><Relationship Id="rId39" Type="http://schemas.openxmlformats.org/officeDocument/2006/relationships/hyperlink" Target="https://www.howtogeek.com/853529/hardware-for-stable-diffusion/" TargetMode="External"/><Relationship Id="rId265" Type="http://schemas.openxmlformats.org/officeDocument/2006/relationships/hyperlink" Target="https://ourworldindata.org/grapher/artificial-intelligence-training-computation?time=2023-05-09..latest&amp;country=GPT~Llama+3.1-405B~Grok-2" TargetMode="External"/><Relationship Id="rId286" Type="http://schemas.openxmlformats.org/officeDocument/2006/relationships/hyperlink" Target="https://klu.ai/blog/gpt-4-llm" TargetMode="External"/><Relationship Id="rId50" Type="http://schemas.openxmlformats.org/officeDocument/2006/relationships/hyperlink" Target="https://neurotray.com/how-many-calculations-per-second-can-the-human-brain-do/" TargetMode="External"/><Relationship Id="rId104" Type="http://schemas.openxmlformats.org/officeDocument/2006/relationships/hyperlink" Target="https://sites.research.google/usm/" TargetMode="External"/><Relationship Id="rId125" Type="http://schemas.openxmlformats.org/officeDocument/2006/relationships/hyperlink" Target="https://arxiv.org/pdf/2008.10080.pdf" TargetMode="External"/><Relationship Id="rId146" Type="http://schemas.openxmlformats.org/officeDocument/2006/relationships/hyperlink" Target="https://youtu.be/FHhrN-GXrF8?si=SLSweYe6vRFKpDos&amp;t=112" TargetMode="External"/><Relationship Id="rId167" Type="http://schemas.openxmlformats.org/officeDocument/2006/relationships/hyperlink" Target="https://youtu.be/1WOjjgyZPj8?si=f4KA-OE7e2eDaO-h&amp;t=4442" TargetMode="External"/><Relationship Id="rId188" Type="http://schemas.openxmlformats.org/officeDocument/2006/relationships/hyperlink" Target="https://www.worldwildlife.org/magazine/issues/winter-2018/articles/the-status-of-african-elephants" TargetMode="External"/><Relationship Id="rId311" Type="http://schemas.openxmlformats.org/officeDocument/2006/relationships/hyperlink" Target="https://x.com/Figure_robot/status/1892577871366939087" TargetMode="External"/><Relationship Id="rId332" Type="http://schemas.openxmlformats.org/officeDocument/2006/relationships/hyperlink" Target="https://lifearchitect.ai/models-table/" TargetMode="External"/><Relationship Id="rId71" Type="http://schemas.openxmlformats.org/officeDocument/2006/relationships/hyperlink" Target="https://arxiv.org/pdf/2302.13971.pdf" TargetMode="External"/><Relationship Id="rId92" Type="http://schemas.openxmlformats.org/officeDocument/2006/relationships/hyperlink" Target="https://www.youtube.com/watch?v=Y6Sgp7y178k&amp;t=115s" TargetMode="External"/><Relationship Id="rId213" Type="http://schemas.openxmlformats.org/officeDocument/2006/relationships/hyperlink" Target="https://www.youtube.com/live/k82RwXqZHY8?si=EpgkfKkncgzal3VX&amp;t=4581" TargetMode="External"/><Relationship Id="rId234" Type="http://schemas.openxmlformats.org/officeDocument/2006/relationships/hyperlink" Target="https://youtu.be/1WOjjgyZPj8?si=f4KA-OE7e2eDaO-h&amp;t=4440" TargetMode="External"/><Relationship Id="rId2" Type="http://schemas.openxmlformats.org/officeDocument/2006/relationships/hyperlink" Target="https://platform.openai.com/docs/models/gpt-4" TargetMode="External"/><Relationship Id="rId29" Type="http://schemas.openxmlformats.org/officeDocument/2006/relationships/hyperlink" Target="https://en.wikipedia.org/wiki/LaMDA" TargetMode="External"/><Relationship Id="rId255" Type="http://schemas.openxmlformats.org/officeDocument/2006/relationships/hyperlink" Target="https://www.ri.se/en/news/blog/generative-ai-does-not-run-on-thin-air" TargetMode="External"/><Relationship Id="rId276" Type="http://schemas.openxmlformats.org/officeDocument/2006/relationships/hyperlink" Target="https://x.com/HMexperienceDK/status/1847992543545331734" TargetMode="External"/><Relationship Id="rId297" Type="http://schemas.openxmlformats.org/officeDocument/2006/relationships/hyperlink" Target="https://learnopencv.com/flux-ai-image-generator/" TargetMode="External"/><Relationship Id="rId40" Type="http://schemas.openxmlformats.org/officeDocument/2006/relationships/hyperlink" Target="https://the-decoder.com/training-cost-for-stable-diffusion-was-just-600000-and-that-is-a-good-sign-for-ai-progress/" TargetMode="External"/><Relationship Id="rId115" Type="http://schemas.openxmlformats.org/officeDocument/2006/relationships/hyperlink" Target="https://www.infoq.com/news/2022/10/openai-whisper-speech/" TargetMode="External"/><Relationship Id="rId136" Type="http://schemas.openxmlformats.org/officeDocument/2006/relationships/hyperlink" Target="https://github.com/google-deepmind/alphafold" TargetMode="External"/><Relationship Id="rId157" Type="http://schemas.openxmlformats.org/officeDocument/2006/relationships/hyperlink" Target="https://www.fahimai.com/ideogram-ai%20(source%20say%20it%20is%20based%20on%20stability%20XL,%20likely%20a%20finetuned%20version%20of%20it)" TargetMode="External"/><Relationship Id="rId178" Type="http://schemas.openxmlformats.org/officeDocument/2006/relationships/hyperlink" Target="https://en.wikipedia.org/wiki/GPT-2" TargetMode="External"/><Relationship Id="rId301" Type="http://schemas.openxmlformats.org/officeDocument/2006/relationships/hyperlink" Target="https://youtu.be/FHhrN-GXrF8?si=SLSweYe6vRFKpDos&amp;t=112" TargetMode="External"/><Relationship Id="rId322" Type="http://schemas.openxmlformats.org/officeDocument/2006/relationships/hyperlink" Target="https://arcprize.org/blog/r1-zero-r1-results-analysis" TargetMode="External"/><Relationship Id="rId61" Type="http://schemas.openxmlformats.org/officeDocument/2006/relationships/hyperlink" Target="https://www.quora.com/Why-dont-neurons-in-the-brain-fire-all-the-time/answer/Paul-King-2" TargetMode="External"/><Relationship Id="rId82" Type="http://schemas.openxmlformats.org/officeDocument/2006/relationships/hyperlink" Target="https://www.anandtech.com/show/16900/samsung-teases-512-gb-ddr5-7200-modules" TargetMode="External"/><Relationship Id="rId199" Type="http://schemas.openxmlformats.org/officeDocument/2006/relationships/hyperlink" Target="https://www.youtube.com/watch?v=WlUFoZstcWg" TargetMode="External"/><Relationship Id="rId203" Type="http://schemas.openxmlformats.org/officeDocument/2006/relationships/hyperlink" Target="https://youtu.be/UZDiGooFs54?si=LKk33NwxNG0MDvad&amp;t=68" TargetMode="External"/><Relationship Id="rId19" Type="http://schemas.openxmlformats.org/officeDocument/2006/relationships/hyperlink" Target="https://www.perplexity.ai/" TargetMode="External"/><Relationship Id="rId224" Type="http://schemas.openxmlformats.org/officeDocument/2006/relationships/hyperlink" Target="https://youtu.be/1WOjjgyZPj8?si=f4KA-OE7e2eDaO-h&amp;t=4440" TargetMode="External"/><Relationship Id="rId245" Type="http://schemas.openxmlformats.org/officeDocument/2006/relationships/hyperlink" Target="https://en.wikipedia.org/wiki/AlexNet" TargetMode="External"/><Relationship Id="rId266" Type="http://schemas.openxmlformats.org/officeDocument/2006/relationships/hyperlink" Target="https://huggingface.co/blog/mingyuliutw/nvidia-cosmos" TargetMode="External"/><Relationship Id="rId287" Type="http://schemas.openxmlformats.org/officeDocument/2006/relationships/hyperlink" Target="https://x.com/HMexperienceDK/status/1847992543545331734" TargetMode="External"/><Relationship Id="rId30" Type="http://schemas.openxmlformats.org/officeDocument/2006/relationships/hyperlink" Target="https://en.wikipedia.org/wiki/Stable_Diffusion" TargetMode="External"/><Relationship Id="rId105" Type="http://schemas.openxmlformats.org/officeDocument/2006/relationships/hyperlink" Target="https://sites.research.google/usm/" TargetMode="External"/><Relationship Id="rId126" Type="http://schemas.openxmlformats.org/officeDocument/2006/relationships/hyperlink" Target="https://youtu.be/1WOjjgyZPj8?si=f4KA-OE7e2eDaO-h&amp;t=4442" TargetMode="External"/><Relationship Id="rId147" Type="http://schemas.openxmlformats.org/officeDocument/2006/relationships/hyperlink" Target="https://youtu.be/FHhrN-GXrF8?si=SLSweYe6vRFKpDos&amp;t=112" TargetMode="External"/><Relationship Id="rId168" Type="http://schemas.openxmlformats.org/officeDocument/2006/relationships/hyperlink" Target="https://youtu.be/1WOjjgyZPj8?si=f4KA-OE7e2eDaO-h&amp;t=4440" TargetMode="External"/><Relationship Id="rId312" Type="http://schemas.openxmlformats.org/officeDocument/2006/relationships/hyperlink" Target="https://www.youtube.com/watch?v=uVcBa6NXAbk&amp;t=3s" TargetMode="External"/><Relationship Id="rId333" Type="http://schemas.openxmlformats.org/officeDocument/2006/relationships/hyperlink" Target="https://blog.palantir.com/the-future-of-drone-navigation-7236075fdedf" TargetMode="External"/><Relationship Id="rId51" Type="http://schemas.openxmlformats.org/officeDocument/2006/relationships/hyperlink" Target="https://www.slideshare.net/antonioeram/raymond-kurzweil-presentation" TargetMode="External"/><Relationship Id="rId72" Type="http://schemas.openxmlformats.org/officeDocument/2006/relationships/hyperlink" Target="https://en.m.wikipedia.org/wiki/Chimpanzee" TargetMode="External"/><Relationship Id="rId93" Type="http://schemas.openxmlformats.org/officeDocument/2006/relationships/hyperlink" Target="https://pc.net/helpcenter/answers/how_much_text_in_one_megabyte" TargetMode="External"/><Relationship Id="rId189" Type="http://schemas.openxmlformats.org/officeDocument/2006/relationships/hyperlink" Target="https://x.com/DrJimFan/status/1681372700881854465?ref_src=twsrc%5Etfw%7Ctwcamp%5Etweetembed%7Ctwterm%5E1681372700881854465%7Ctwgr%5E7249d5e9a5faa88242ea45b35b2543bea19bc1ba%7Ctwcon%5Es1_&amp;ref_url=https%3A%2F%2Fwww.searchenginejournal.com%2Fmeta-and-microsoft-release-llama-2-free-commercial-use-research%2F491963%2F" TargetMode="External"/><Relationship Id="rId3" Type="http://schemas.openxmlformats.org/officeDocument/2006/relationships/hyperlink" Target="https://platform.openai.com/docs/models/gpt-3-5" TargetMode="External"/><Relationship Id="rId214" Type="http://schemas.openxmlformats.org/officeDocument/2006/relationships/hyperlink" Target="https://www.youtube.com/live/k82RwXqZHY8?si=6DOHU0vcZAIKS9X-&amp;t=4183" TargetMode="External"/><Relationship Id="rId235" Type="http://schemas.openxmlformats.org/officeDocument/2006/relationships/hyperlink" Target="https://youtu.be/1WOjjgyZPj8?si=f4KA-OE7e2eDaO-h&amp;t=4440" TargetMode="External"/><Relationship Id="rId256" Type="http://schemas.openxmlformats.org/officeDocument/2006/relationships/hyperlink" Target="https://docsbot.ai/models/deepseek-r1" TargetMode="External"/><Relationship Id="rId277" Type="http://schemas.openxmlformats.org/officeDocument/2006/relationships/hyperlink" Target="https://blog.heim.xyz/palm-training-cost/" TargetMode="External"/><Relationship Id="rId298" Type="http://schemas.openxmlformats.org/officeDocument/2006/relationships/hyperlink" Target="https://cloud.google.com/transform/the-prompt-what-are-long-context-windows-and-why-do-they-matter" TargetMode="External"/><Relationship Id="rId116" Type="http://schemas.openxmlformats.org/officeDocument/2006/relationships/hyperlink" Target="https://www.infoq.com/news/2022/10/openai-whisper-speech/" TargetMode="External"/><Relationship Id="rId137" Type="http://schemas.openxmlformats.org/officeDocument/2006/relationships/hyperlink" Target="https://www.blopig.com/blog/2021/07/alphafold-2-is-here-whats-behind-the-structure-prediction-miracle/" TargetMode="External"/><Relationship Id="rId158" Type="http://schemas.openxmlformats.org/officeDocument/2006/relationships/hyperlink" Target="https://waxy.org/2022/08/exploring-12-million-of-the-images-used-to-train-stable-diffusions-image-generator/" TargetMode="External"/><Relationship Id="rId302" Type="http://schemas.openxmlformats.org/officeDocument/2006/relationships/hyperlink" Target="https://www.youtube.com/watch?v=3ZoP1GCNwYE&amp;t=700s" TargetMode="External"/><Relationship Id="rId323" Type="http://schemas.openxmlformats.org/officeDocument/2006/relationships/hyperlink" Target="https://www.youtube.com/live/_waPvOwL9Z8?si=J0EAb79im7Wwdy94&amp;t=4234" TargetMode="External"/><Relationship Id="rId20" Type="http://schemas.openxmlformats.org/officeDocument/2006/relationships/hyperlink" Target="https://ai.meta.com/llama/" TargetMode="External"/><Relationship Id="rId41" Type="http://schemas.openxmlformats.org/officeDocument/2006/relationships/hyperlink" Target="https://en.wikipedia.org/wiki/Stable_Diffusion" TargetMode="External"/><Relationship Id="rId62" Type="http://schemas.openxmlformats.org/officeDocument/2006/relationships/hyperlink" Target="https://hypertextbook.com/facts/2001/JacquelineLing.shtml" TargetMode="External"/><Relationship Id="rId83" Type="http://schemas.openxmlformats.org/officeDocument/2006/relationships/hyperlink" Target="https://www.crucial.com/support/articles-faq-memory/how-much-power-does-memory-use" TargetMode="External"/><Relationship Id="rId179" Type="http://schemas.openxmlformats.org/officeDocument/2006/relationships/hyperlink" Target="https://en.wikipedia.org/wiki/GPT-2" TargetMode="External"/><Relationship Id="rId190" Type="http://schemas.openxmlformats.org/officeDocument/2006/relationships/hyperlink" Target="https://youtu.be/0AgAcarLnU4?si=g77Hs0Y7EijhY_EJ&amp;t=277" TargetMode="External"/><Relationship Id="rId204" Type="http://schemas.openxmlformats.org/officeDocument/2006/relationships/hyperlink" Target="https://youtu.be/UZDiGooFs54?si=KGloKwOuX9n-CNdZ&amp;t=1013" TargetMode="External"/><Relationship Id="rId225" Type="http://schemas.openxmlformats.org/officeDocument/2006/relationships/hyperlink" Target="https://youtu.be/1WOjjgyZPj8?si=f4KA-OE7e2eDaO-h&amp;t=4440" TargetMode="External"/><Relationship Id="rId246" Type="http://schemas.openxmlformats.org/officeDocument/2006/relationships/hyperlink" Target="https://www.youtube.com/live/k82RwXqZHY8?si=zjX7fDUhbLrafnjd&amp;t=3605" TargetMode="External"/><Relationship Id="rId267" Type="http://schemas.openxmlformats.org/officeDocument/2006/relationships/hyperlink" Target="https://platform.openai.com/docs/models/o1" TargetMode="External"/><Relationship Id="rId288" Type="http://schemas.openxmlformats.org/officeDocument/2006/relationships/hyperlink" Target="https://ourworldindata.org/grapher/artificial-intelligence-training-computation?country=GPT~PaLM+2~PaLM+%28540B%29" TargetMode="External"/><Relationship Id="rId106" Type="http://schemas.openxmlformats.org/officeDocument/2006/relationships/hyperlink" Target="https://sites.research.google/usm/" TargetMode="External"/><Relationship Id="rId127" Type="http://schemas.openxmlformats.org/officeDocument/2006/relationships/hyperlink" Target="https://github.com/jonathan-laurent/AlphaZero.jl/blob/373852801dbf81f5fef0ed7feba69e82aecf0d6d/src/params.jl" TargetMode="External"/><Relationship Id="rId313" Type="http://schemas.openxmlformats.org/officeDocument/2006/relationships/hyperlink" Target="https://platform.openai.com/docs/pricing" TargetMode="External"/><Relationship Id="rId10" Type="http://schemas.openxmlformats.org/officeDocument/2006/relationships/hyperlink" Target="https://the-decoder.com/gpt-4-architecture-datasets-costs-and-more-leaked/" TargetMode="External"/><Relationship Id="rId31" Type="http://schemas.openxmlformats.org/officeDocument/2006/relationships/hyperlink" Target="https://beta.dreamstudio.ai/generate" TargetMode="External"/><Relationship Id="rId52" Type="http://schemas.openxmlformats.org/officeDocument/2006/relationships/hyperlink" Target="http://www.fhi.ox.ac.uk/brain-emulation-roadmap-report.pdf" TargetMode="External"/><Relationship Id="rId73" Type="http://schemas.openxmlformats.org/officeDocument/2006/relationships/hyperlink" Target="https://en.m.wikipedia.org/wiki/Chimpanzee" TargetMode="External"/><Relationship Id="rId94" Type="http://schemas.openxmlformats.org/officeDocument/2006/relationships/hyperlink" Target="https://basmo.app/how-long-does-it-take-to-read-100-pages/" TargetMode="External"/><Relationship Id="rId148" Type="http://schemas.openxmlformats.org/officeDocument/2006/relationships/hyperlink" Target="https://www.frontiersin.org/journals/neuroinformatics/articles/10.3389/fninf.2018.00084/full" TargetMode="External"/><Relationship Id="rId169" Type="http://schemas.openxmlformats.org/officeDocument/2006/relationships/hyperlink" Target="https://en.wikipedia.org/wiki/GPT-3" TargetMode="External"/><Relationship Id="rId334" Type="http://schemas.openxmlformats.org/officeDocument/2006/relationships/hyperlink" Target="https://www.1x.tech/neo" TargetMode="External"/><Relationship Id="rId4" Type="http://schemas.openxmlformats.org/officeDocument/2006/relationships/hyperlink" Target="https://en.wikipedia.org/wiki/GPT-4" TargetMode="External"/><Relationship Id="rId180" Type="http://schemas.openxmlformats.org/officeDocument/2006/relationships/hyperlink" Target="https://en.wikipedia.org/wiki/GPT-2" TargetMode="External"/><Relationship Id="rId215" Type="http://schemas.openxmlformats.org/officeDocument/2006/relationships/hyperlink" Target="https://www.youtube.com/watch?v=DrNcXgoFv20" TargetMode="External"/><Relationship Id="rId236" Type="http://schemas.openxmlformats.org/officeDocument/2006/relationships/hyperlink" Target="https://youtu.be/1WOjjgyZPj8?si=f4KA-OE7e2eDaO-h&amp;t=4440" TargetMode="External"/><Relationship Id="rId257" Type="http://schemas.openxmlformats.org/officeDocument/2006/relationships/hyperlink" Target="https://arxiv.org/html/2412.19437v1" TargetMode="External"/><Relationship Id="rId278" Type="http://schemas.openxmlformats.org/officeDocument/2006/relationships/hyperlink" Target="https://x.com/HMexperienceDK/status/1847992543545331734" TargetMode="External"/><Relationship Id="rId303" Type="http://schemas.openxmlformats.org/officeDocument/2006/relationships/hyperlink" Target="https://carnewschina.com/2025/01/17/byd-to-ship-autopilot-features-across-entire-lineup-from-seagull-to-yangwang-u8-in-2025/?utm_source=chatgpt.com" TargetMode="External"/><Relationship Id="rId42" Type="http://schemas.openxmlformats.org/officeDocument/2006/relationships/hyperlink" Target="https://www.theregister.com/2023/07/21/tesla_dojo_spending/" TargetMode="External"/><Relationship Id="rId84" Type="http://schemas.openxmlformats.org/officeDocument/2006/relationships/hyperlink" Target="https://en.wikipedia.org/wiki/Human_evolution" TargetMode="External"/><Relationship Id="rId138" Type="http://schemas.openxmlformats.org/officeDocument/2006/relationships/hyperlink" Target="https://en.wikipedia.org/wiki/AlphaFold" TargetMode="External"/><Relationship Id="rId191" Type="http://schemas.openxmlformats.org/officeDocument/2006/relationships/hyperlink" Target="https://youtu.be/mofEOSUkMpA?si=lKc-pY35MElxuapW&amp;t=868" TargetMode="External"/><Relationship Id="rId205" Type="http://schemas.openxmlformats.org/officeDocument/2006/relationships/hyperlink" Target="https://ourworldindata.org/grapher/artificial-intelligence-training-computation?country=~GPT-1" TargetMode="External"/><Relationship Id="rId247" Type="http://schemas.openxmlformats.org/officeDocument/2006/relationships/hyperlink" Target="https://huggingface.co/blog/mingyuliutw/nvidia-cosmos" TargetMode="External"/><Relationship Id="rId107" Type="http://schemas.openxmlformats.org/officeDocument/2006/relationships/hyperlink" Target="https://waxy.org/2022/08/exploring-12-million-of-the-images-used-to-train-stable-diffusions-image-generator/" TargetMode="External"/><Relationship Id="rId289" Type="http://schemas.openxmlformats.org/officeDocument/2006/relationships/hyperlink" Target="https://x.com/HMexperienceDK/status/1847992543545331734" TargetMode="External"/><Relationship Id="rId11" Type="http://schemas.openxmlformats.org/officeDocument/2006/relationships/hyperlink" Target="https://the-decoder.com/gpt-4-architecture-datasets-costs-and-more-leaked/" TargetMode="External"/><Relationship Id="rId53" Type="http://schemas.openxmlformats.org/officeDocument/2006/relationships/hyperlink" Target="https://aiimpacts.org/brain-performance-in-flops/" TargetMode="External"/><Relationship Id="rId149" Type="http://schemas.openxmlformats.org/officeDocument/2006/relationships/hyperlink" Target="https://worldostats.com/mice-population-by-country-2024/" TargetMode="External"/><Relationship Id="rId314" Type="http://schemas.openxmlformats.org/officeDocument/2006/relationships/hyperlink" Target="https://youtu.be/1WOjjgyZPj8?si=f4KA-OE7e2eDaO-h&amp;t=4440" TargetMode="External"/><Relationship Id="rId95" Type="http://schemas.openxmlformats.org/officeDocument/2006/relationships/hyperlink" Target="https://basmo.app/how-long-does-it-take-to-read-100-pages/" TargetMode="External"/><Relationship Id="rId160" Type="http://schemas.openxmlformats.org/officeDocument/2006/relationships/hyperlink" Target="https://the-decoder.com/gpt-3-5-might-be-a-strong-example-of-the-efficiency-potential-of-large-ai-models/" TargetMode="External"/><Relationship Id="rId216" Type="http://schemas.openxmlformats.org/officeDocument/2006/relationships/hyperlink" Target="https://ourworldindata.org/grapher/artificial-intelligence-training-computation?country=GPT~Llama+3.1-405B" TargetMode="External"/><Relationship Id="rId258" Type="http://schemas.openxmlformats.org/officeDocument/2006/relationships/hyperlink" Target="https://youtu.be/1WOjjgyZPj8?si=f4KA-OE7e2eDaO-h&amp;t=4440" TargetMode="External"/><Relationship Id="rId22" Type="http://schemas.openxmlformats.org/officeDocument/2006/relationships/hyperlink" Target="https://claude.ai/login" TargetMode="External"/><Relationship Id="rId64" Type="http://schemas.openxmlformats.org/officeDocument/2006/relationships/hyperlink" Target="https://www.nih.gov/news-events/nih-research-matters/expanded-map-human-brain" TargetMode="External"/><Relationship Id="rId118" Type="http://schemas.openxmlformats.org/officeDocument/2006/relationships/hyperlink" Target="https://the-decoder.com/stable-diffusion-xl-an-image-model-at-midjourneys-level/" TargetMode="External"/><Relationship Id="rId325" Type="http://schemas.openxmlformats.org/officeDocument/2006/relationships/hyperlink" Target="https://en.wikipedia.org/wiki/Optimus_(robot)" TargetMode="External"/><Relationship Id="rId171" Type="http://schemas.openxmlformats.org/officeDocument/2006/relationships/hyperlink" Target="https://chat.openai.com/" TargetMode="External"/><Relationship Id="rId227" Type="http://schemas.openxmlformats.org/officeDocument/2006/relationships/hyperlink" Target="https://youtu.be/1WOjjgyZPj8?si=f4KA-OE7e2eDaO-h&amp;t=4440" TargetMode="External"/><Relationship Id="rId269" Type="http://schemas.openxmlformats.org/officeDocument/2006/relationships/hyperlink" Target="https://mil.in.ua/en/news/the-u-s-demonstrated-the-combat-capabilities-of-altius-600-drones-to-be-received-by-ukraine/" TargetMode="External"/><Relationship Id="rId33" Type="http://schemas.openxmlformats.org/officeDocument/2006/relationships/hyperlink" Target="https://en.wikipedia.org/wiki/Stable_Diffusion" TargetMode="External"/><Relationship Id="rId129" Type="http://schemas.openxmlformats.org/officeDocument/2006/relationships/hyperlink" Target="https://en.wikipedia.org/wiki/AlphaZero" TargetMode="External"/><Relationship Id="rId280" Type="http://schemas.openxmlformats.org/officeDocument/2006/relationships/hyperlink" Target="https://youtu.be/fKXztwtXaGo?si=YhpgsxHENr8s560Y" TargetMode="External"/><Relationship Id="rId336" Type="http://schemas.openxmlformats.org/officeDocument/2006/relationships/hyperlink" Target="https://www.1x.tech/" TargetMode="External"/><Relationship Id="rId75" Type="http://schemas.openxmlformats.org/officeDocument/2006/relationships/hyperlink" Target="https://en.wikipedia.org/wiki/List_of_animals_by_number_of_neurons" TargetMode="External"/><Relationship Id="rId140" Type="http://schemas.openxmlformats.org/officeDocument/2006/relationships/hyperlink" Target="https://www.cnbc.com/2023/11/05/elon-musk-debuts-grok-ai-bot-to-rival-chatgpt-others-.html" TargetMode="External"/><Relationship Id="rId182" Type="http://schemas.openxmlformats.org/officeDocument/2006/relationships/hyperlink" Target="https://en.wikipedia.org/wiki/GPT-4o" TargetMode="External"/><Relationship Id="rId6" Type="http://schemas.openxmlformats.org/officeDocument/2006/relationships/hyperlink" Target="https://en.wikipedia.org/wiki/GPT-4" TargetMode="External"/><Relationship Id="rId238" Type="http://schemas.openxmlformats.org/officeDocument/2006/relationships/hyperlink" Target="https://youtu.be/1WOjjgyZPj8?si=f4KA-OE7e2eDaO-h&amp;t=4440" TargetMode="External"/><Relationship Id="rId291" Type="http://schemas.openxmlformats.org/officeDocument/2006/relationships/hyperlink" Target="https://www.tesla.com/AI" TargetMode="External"/><Relationship Id="rId305" Type="http://schemas.openxmlformats.org/officeDocument/2006/relationships/hyperlink" Target="https://carnewschina.com/2025/01/17/byd-to-ship-autopilot-features-across-entire-lineup-from-seagull-to-yangwang-u8-in-2025/?utm_source=chatgpt.com" TargetMode="External"/><Relationship Id="rId44" Type="http://schemas.openxmlformats.org/officeDocument/2006/relationships/hyperlink" Target="https://golden.com/wiki/Perplexity_AI-X9D5GWB" TargetMode="External"/><Relationship Id="rId86" Type="http://schemas.openxmlformats.org/officeDocument/2006/relationships/hyperlink" Target="https://www.worldometers.info/world-population/" TargetMode="External"/><Relationship Id="rId151" Type="http://schemas.openxmlformats.org/officeDocument/2006/relationships/hyperlink" Target="https://en.wikipedia.org/wiki/Llama_(language_model)" TargetMode="External"/><Relationship Id="rId193" Type="http://schemas.openxmlformats.org/officeDocument/2006/relationships/hyperlink" Target="https://x.com/HMexperienceDK/status/1847992543545331734" TargetMode="External"/><Relationship Id="rId207" Type="http://schemas.openxmlformats.org/officeDocument/2006/relationships/hyperlink" Target="https://www.youtube.com/live/k82RwXqZHY8?si=dZKriith_o7bcx1D&amp;t=3470" TargetMode="External"/><Relationship Id="rId249" Type="http://schemas.openxmlformats.org/officeDocument/2006/relationships/hyperlink" Target="https://x.com/reach_vb/status/1801648142963577103?ref_src=twsrc%5Etfw%7Ctwcamp%5Etweetembed%7Ctwterm%5E1801662289780822100%7Ctwgr%5Ee356aa4e988e30c7664c1990e8512ba9b1bb4980%7Ctwcon%5Es3_&amp;ref_url=https%3A%2F%2Fventurebeat.com%2Fai%2Fnvidias-nemotron-4-340b-model-redefines-synthetic-data-generation-rivals-gpt-4%2F" TargetMode="External"/><Relationship Id="rId13" Type="http://schemas.openxmlformats.org/officeDocument/2006/relationships/hyperlink" Target="https://the-decoder.com/gpt-4-architecture-datasets-costs-and-more-leaked/" TargetMode="External"/><Relationship Id="rId109" Type="http://schemas.openxmlformats.org/officeDocument/2006/relationships/hyperlink" Target="https://huggingface.co/datasets/laion/laion2B-en%20(this%20page%20no%20longer%20exist%20because%20model%20is%20old%20and%20copyright%20issues%20may%20have%20forced%20a%20takedown)" TargetMode="External"/><Relationship Id="rId260" Type="http://schemas.openxmlformats.org/officeDocument/2006/relationships/hyperlink" Target="https://youtu.be/1yvBqasHLZs?si=AiZeLs7vZjEiL20I&amp;t=735" TargetMode="External"/><Relationship Id="rId316" Type="http://schemas.openxmlformats.org/officeDocument/2006/relationships/hyperlink" Target="https://openai.com/index/introducing-gpt-4-5/" TargetMode="External"/><Relationship Id="rId55" Type="http://schemas.openxmlformats.org/officeDocument/2006/relationships/hyperlink" Target="https://elifesciences.org/articles/10778" TargetMode="External"/><Relationship Id="rId97" Type="http://schemas.openxmlformats.org/officeDocument/2006/relationships/hyperlink" Target="https://twitter.com/tim_zaman/status/1695488119729238147" TargetMode="External"/><Relationship Id="rId120" Type="http://schemas.openxmlformats.org/officeDocument/2006/relationships/hyperlink" Target="https://stability.ai/stable-diffusion" TargetMode="External"/><Relationship Id="rId162" Type="http://schemas.openxmlformats.org/officeDocument/2006/relationships/hyperlink" Target="https://thenewstack.io/how-perplexitys-online-llm-was-inspired-by-freshllms-paper/?utm_referrer=https%3A%2F%2Fwww.perplexity.ai%2F" TargetMode="External"/><Relationship Id="rId218" Type="http://schemas.openxmlformats.org/officeDocument/2006/relationships/hyperlink" Target="https://youtu.be/1WOjjgyZPj8?si=f4KA-OE7e2eDaO-h&amp;t=4440" TargetMode="External"/><Relationship Id="rId271" Type="http://schemas.openxmlformats.org/officeDocument/2006/relationships/hyperlink" Target="https://www.defensemirror.com/news/38298/Germany___s_Helsing_Produces_AI_Powered_HX_2_Drones_for_Ukraine" TargetMode="External"/><Relationship Id="rId24" Type="http://schemas.openxmlformats.org/officeDocument/2006/relationships/hyperlink" Target="https://en.wikipedia.org/wiki/Anthropic" TargetMode="External"/><Relationship Id="rId66" Type="http://schemas.openxmlformats.org/officeDocument/2006/relationships/hyperlink" Target="https://aws.amazon.com/about-aws/whats-new/2023/08/claude-2-foundation-model-anthropic-amazon-bedrock/" TargetMode="External"/><Relationship Id="rId131" Type="http://schemas.openxmlformats.org/officeDocument/2006/relationships/hyperlink" Target="https://en.wikipedia.org/wiki/AlphaZero" TargetMode="External"/><Relationship Id="rId327" Type="http://schemas.openxmlformats.org/officeDocument/2006/relationships/hyperlink" Target="https://www.nvidia.com/en-us/self-driving-cars/safety/"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axios.com/2024/07/15/openai-chatgpt-reasoning-ai-levels" TargetMode="External"/><Relationship Id="rId2" Type="http://schemas.openxmlformats.org/officeDocument/2006/relationships/hyperlink" Target="https://www.theverge.com/2024/7/11/24196746/heres-how-openai-will-determine-how-powerful-its-ai-systems-are" TargetMode="External"/><Relationship Id="rId1" Type="http://schemas.openxmlformats.org/officeDocument/2006/relationships/hyperlink" Target="https://www.bloomberg.com/news/articles/2024-07-11/openai-sets-levels-to-track-progress-toward-superintelligent-ai"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youtube.com/watch?v=lx26k8LTCdI" TargetMode="External"/><Relationship Id="rId13" Type="http://schemas.openxmlformats.org/officeDocument/2006/relationships/hyperlink" Target="https://www.youtube.com/watch?v=cBVUdEQXvmc" TargetMode="External"/><Relationship Id="rId18" Type="http://schemas.openxmlformats.org/officeDocument/2006/relationships/hyperlink" Target="https://x.com/Figure_robot/status/1904534311589785885" TargetMode="External"/><Relationship Id="rId3" Type="http://schemas.openxmlformats.org/officeDocument/2006/relationships/hyperlink" Target="https://youtu.be/X4QYV5GTz7c?si=9GHt1jGCt_mkbtdO&amp;t=110" TargetMode="External"/><Relationship Id="rId21" Type="http://schemas.openxmlformats.org/officeDocument/2006/relationships/hyperlink" Target="https://www.youtube.com/watch?v=I44_zbEwz_w" TargetMode="External"/><Relationship Id="rId7" Type="http://schemas.openxmlformats.org/officeDocument/2006/relationships/hyperlink" Target="https://www.youtube.com/watch?v=AnM0K8Pwr1I" TargetMode="External"/><Relationship Id="rId12" Type="http://schemas.openxmlformats.org/officeDocument/2006/relationships/hyperlink" Target="https://www.youtube.com/watch?v=pGftUCTqaGg&amp;t=2568s" TargetMode="External"/><Relationship Id="rId17" Type="http://schemas.openxmlformats.org/officeDocument/2006/relationships/hyperlink" Target="https://youtu.be/oYmKOgeoOz4?si=9I4v5D4EyUCcz38E&amp;t=185" TargetMode="External"/><Relationship Id="rId2" Type="http://schemas.openxmlformats.org/officeDocument/2006/relationships/hyperlink" Target="https://youtu.be/eeUXF79QF7s?si=50PCxGviKOgym636&amp;t=71" TargetMode="External"/><Relationship Id="rId16" Type="http://schemas.openxmlformats.org/officeDocument/2006/relationships/hyperlink" Target="https://www.youtube.com/watch?v=uVcBa6NXAbk&amp;t=3s" TargetMode="External"/><Relationship Id="rId20" Type="http://schemas.openxmlformats.org/officeDocument/2006/relationships/hyperlink" Target="https://en.wikipedia.org/wiki/History_of_life" TargetMode="External"/><Relationship Id="rId1" Type="http://schemas.openxmlformats.org/officeDocument/2006/relationships/hyperlink" Target="https://www.youtube.com/watch?v=vDpDhofRoXA" TargetMode="External"/><Relationship Id="rId6" Type="http://schemas.openxmlformats.org/officeDocument/2006/relationships/hyperlink" Target="https://en.wikipedia.org/wiki/E._O._Wilson" TargetMode="External"/><Relationship Id="rId11" Type="http://schemas.openxmlformats.org/officeDocument/2006/relationships/hyperlink" Target="https://en.wikiquote.org/wiki/E._O._Wilson" TargetMode="External"/><Relationship Id="rId24" Type="http://schemas.openxmlformats.org/officeDocument/2006/relationships/hyperlink" Target="https://youtu.be/ypEaGQb6dJk?si=CWMx7mC_iQ5H43P3&amp;t=480" TargetMode="External"/><Relationship Id="rId5" Type="http://schemas.openxmlformats.org/officeDocument/2006/relationships/hyperlink" Target="https://youtu.be/M8PsZki6NGU?si=PFqeY7f0S6MWd4Rw&amp;t=6" TargetMode="External"/><Relationship Id="rId15" Type="http://schemas.openxmlformats.org/officeDocument/2006/relationships/hyperlink" Target="https://x.com/Figure_robot/status/1892577871366939087" TargetMode="External"/><Relationship Id="rId23" Type="http://schemas.openxmlformats.org/officeDocument/2006/relationships/hyperlink" Target="https://youtu.be/ypEaGQb6dJk?si=vrNgkWh9fuvBIj_f&amp;t=423" TargetMode="External"/><Relationship Id="rId10" Type="http://schemas.openxmlformats.org/officeDocument/2006/relationships/hyperlink" Target="https://www.youtube.com/watch?v=oR_e9y-bka0" TargetMode="External"/><Relationship Id="rId19" Type="http://schemas.openxmlformats.org/officeDocument/2006/relationships/hyperlink" Target="https://ocean.si.edu/through-time/ocean-through-time" TargetMode="External"/><Relationship Id="rId4" Type="http://schemas.openxmlformats.org/officeDocument/2006/relationships/hyperlink" Target="https://youtu.be/c6bEs3dxjPg?si=xkibYKJpQo8Qb3t6&amp;t=34" TargetMode="External"/><Relationship Id="rId9" Type="http://schemas.openxmlformats.org/officeDocument/2006/relationships/hyperlink" Target="https://youtu.be/_s30m6Bpj2U?si=0yIe3GyCjk5vjLxZ&amp;t=179" TargetMode="External"/><Relationship Id="rId14" Type="http://schemas.openxmlformats.org/officeDocument/2006/relationships/hyperlink" Target="https://www.youtube.com/watch?v=lAJkDrBCA6k" TargetMode="External"/><Relationship Id="rId22" Type="http://schemas.openxmlformats.org/officeDocument/2006/relationships/hyperlink" Target="https://youtu.be/v8UaiRgqvlc?si=uEhUILXHya-g452B&amp;t=266"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youtu.be/mofEOSUkMpA?si=b6iCZF1_uHrL_FFC&amp;t=131" TargetMode="External"/><Relationship Id="rId21" Type="http://schemas.openxmlformats.org/officeDocument/2006/relationships/hyperlink" Target="https://en.wikipedia.org/wiki/Ilya_Sutskever" TargetMode="External"/><Relationship Id="rId42" Type="http://schemas.openxmlformats.org/officeDocument/2006/relationships/hyperlink" Target="https://youtu.be/G1ARvwQntAU?si=seoLq5Lvy4UF4Zny&amp;t=2209" TargetMode="External"/><Relationship Id="rId47" Type="http://schemas.openxmlformats.org/officeDocument/2006/relationships/hyperlink" Target="https://x.com/karpathy/status/1882544526033924438" TargetMode="External"/><Relationship Id="rId63" Type="http://schemas.openxmlformats.org/officeDocument/2006/relationships/hyperlink" Target="https://youtu.be/q27XMPm5wg8?si=8v4oFpYO7zca2Gv7" TargetMode="External"/><Relationship Id="rId68" Type="http://schemas.openxmlformats.org/officeDocument/2006/relationships/hyperlink" Target="https://time.com/collection/time100-ai-2024/" TargetMode="External"/><Relationship Id="rId16" Type="http://schemas.openxmlformats.org/officeDocument/2006/relationships/hyperlink" Target="https://youtu.be/mofEOSUkMpA?si=Mw81VowNEClByC86&amp;t=148" TargetMode="External"/><Relationship Id="rId11" Type="http://schemas.openxmlformats.org/officeDocument/2006/relationships/hyperlink" Target="https://en.wikipedia.org/wiki/Presidency_of_Barack_Obama" TargetMode="External"/><Relationship Id="rId32" Type="http://schemas.openxmlformats.org/officeDocument/2006/relationships/hyperlink" Target="https://youtu.be/xXCBz_8hM9w?si=xSC8l-AaGJ3hlkJH&amp;t=106" TargetMode="External"/><Relationship Id="rId37" Type="http://schemas.openxmlformats.org/officeDocument/2006/relationships/hyperlink" Target="https://en.wikipedia.org/wiki/Roman_Yampolskiy" TargetMode="External"/><Relationship Id="rId53" Type="http://schemas.openxmlformats.org/officeDocument/2006/relationships/hyperlink" Target="https://youtu.be/XxtvQyy7gtE?si=-WDJeFVtCjYRoh5x" TargetMode="External"/><Relationship Id="rId58" Type="http://schemas.openxmlformats.org/officeDocument/2006/relationships/hyperlink" Target="https://www.youtube.com/watch?v=pGftUCTqaGg&amp;t=2568s" TargetMode="External"/><Relationship Id="rId74" Type="http://schemas.openxmlformats.org/officeDocument/2006/relationships/hyperlink" Target="https://www.metaculus.com/questions/9062/time-from-weak-agi-to-superintelligence/" TargetMode="External"/><Relationship Id="rId79" Type="http://schemas.openxmlformats.org/officeDocument/2006/relationships/hyperlink" Target="https://youtu.be/qvNCVYkHKfg?si=YCD4MVASlkV5X3y2&amp;t=1809" TargetMode="External"/><Relationship Id="rId5" Type="http://schemas.openxmlformats.org/officeDocument/2006/relationships/hyperlink" Target="https://en.wikipedia.org/wiki/Mark_Zuckerberg" TargetMode="External"/><Relationship Id="rId61" Type="http://schemas.openxmlformats.org/officeDocument/2006/relationships/hyperlink" Target="https://youtu.be/G1ARvwQntAU?si=dn7KSmrkHYXfrv7p" TargetMode="External"/><Relationship Id="rId82" Type="http://schemas.openxmlformats.org/officeDocument/2006/relationships/hyperlink" Target="https://youtu.be/O4S59WFWqR8?si=Jnp01hH5N5bDq05H&amp;t=2270" TargetMode="External"/><Relationship Id="rId19" Type="http://schemas.openxmlformats.org/officeDocument/2006/relationships/hyperlink" Target="https://en.wikipedia.org/wiki/Eliezer_Yudkowsky" TargetMode="External"/><Relationship Id="rId14" Type="http://schemas.openxmlformats.org/officeDocument/2006/relationships/hyperlink" Target="https://youtu.be/mofEOSUkMpA?si=NZxUS5UshDVJqqo4&amp;t=766" TargetMode="External"/><Relationship Id="rId22" Type="http://schemas.openxmlformats.org/officeDocument/2006/relationships/hyperlink" Target="https://youtu.be/ugvHCXCOmm4?si=JIzRW7rLDGqttVEg&amp;t=8311" TargetMode="External"/><Relationship Id="rId27" Type="http://schemas.openxmlformats.org/officeDocument/2006/relationships/hyperlink" Target="https://youtu.be/epQxfSp-rdU?si=0AtzRwsv1SDcnrm9&amp;t=915" TargetMode="External"/><Relationship Id="rId30" Type="http://schemas.openxmlformats.org/officeDocument/2006/relationships/hyperlink" Target="https://youtu.be/xqS5PDYbTsE?si=wfGr2FkFQSXLVhQV&amp;t=1080" TargetMode="External"/><Relationship Id="rId35" Type="http://schemas.openxmlformats.org/officeDocument/2006/relationships/hyperlink" Target="https://youtu.be/Gi8LUnhP5yU?si=DeIrN26V3rQ6g0ND&amp;t=147" TargetMode="External"/><Relationship Id="rId43" Type="http://schemas.openxmlformats.org/officeDocument/2006/relationships/hyperlink" Target="https://youtu.be/G1ARvwQntAU?si=Qiu3WLHBJ-Ha3TAb&amp;t=2793" TargetMode="External"/><Relationship Id="rId48" Type="http://schemas.openxmlformats.org/officeDocument/2006/relationships/hyperlink" Target="https://x.com/karpathy/status/1882544526033924438" TargetMode="External"/><Relationship Id="rId56" Type="http://schemas.openxmlformats.org/officeDocument/2006/relationships/hyperlink" Target="https://en.wikipedia.org/wiki/J%C3%BCrgen_Schmidhuber" TargetMode="External"/><Relationship Id="rId64" Type="http://schemas.openxmlformats.org/officeDocument/2006/relationships/hyperlink" Target="https://youtu.be/DP454c1K_vQ?si=cWdMK1lWE9vSvSuA" TargetMode="External"/><Relationship Id="rId69" Type="http://schemas.openxmlformats.org/officeDocument/2006/relationships/hyperlink" Target="https://en.wikipedia.org/wiki/E._O._Wilson" TargetMode="External"/><Relationship Id="rId77" Type="http://schemas.openxmlformats.org/officeDocument/2006/relationships/hyperlink" Target="https://x.com/arcprize/status/1894454729029079128" TargetMode="External"/><Relationship Id="rId8" Type="http://schemas.openxmlformats.org/officeDocument/2006/relationships/hyperlink" Target="https://en.wikipedia.org/wiki/Yann_LeCun" TargetMode="External"/><Relationship Id="rId51" Type="http://schemas.openxmlformats.org/officeDocument/2006/relationships/hyperlink" Target="https://youtu.be/bq-kukOA4gQ?si=q-tPxgsSORk83fuW&amp;t=142" TargetMode="External"/><Relationship Id="rId72" Type="http://schemas.openxmlformats.org/officeDocument/2006/relationships/hyperlink" Target="https://www.metaculus.com/questions/5121/date-of-artificial-general-intelligence/" TargetMode="External"/><Relationship Id="rId80" Type="http://schemas.openxmlformats.org/officeDocument/2006/relationships/hyperlink" Target="https://www.youtube.com/watch?v=Oz4G9zrlAGs&amp;t=2083s" TargetMode="External"/><Relationship Id="rId3" Type="http://schemas.openxmlformats.org/officeDocument/2006/relationships/hyperlink" Target="https://en.wikipedia.org/wiki/Sam_Altman" TargetMode="External"/><Relationship Id="rId12" Type="http://schemas.openxmlformats.org/officeDocument/2006/relationships/hyperlink" Target="https://en.wikipedia.org/wiki/Nick_Bostrom" TargetMode="External"/><Relationship Id="rId17" Type="http://schemas.openxmlformats.org/officeDocument/2006/relationships/hyperlink" Target="https://darioamodei.com/" TargetMode="External"/><Relationship Id="rId25" Type="http://schemas.openxmlformats.org/officeDocument/2006/relationships/hyperlink" Target="https://www.youtube.com/live/xMvPuRfXOdM?si=nidLspMLHuZYW4o7&amp;t=1929" TargetMode="External"/><Relationship Id="rId33" Type="http://schemas.openxmlformats.org/officeDocument/2006/relationships/hyperlink" Target="https://youtu.be/xXCBz_8hM9w?si=XBY4tOYSj9b6ulIv&amp;t=182" TargetMode="External"/><Relationship Id="rId38" Type="http://schemas.openxmlformats.org/officeDocument/2006/relationships/hyperlink" Target="https://www.youtube.com/watch?v=xW0xjAMD60c" TargetMode="External"/><Relationship Id="rId46" Type="http://schemas.openxmlformats.org/officeDocument/2006/relationships/hyperlink" Target="https://youtu.be/JAgHUDhaTU0?si=JBL9lFq27ljo4qVm&amp;t=4520" TargetMode="External"/><Relationship Id="rId59" Type="http://schemas.openxmlformats.org/officeDocument/2006/relationships/hyperlink" Target="https://en.wikipedia.org/wiki/Fran%C3%A7ois_Chollet" TargetMode="External"/><Relationship Id="rId67" Type="http://schemas.openxmlformats.org/officeDocument/2006/relationships/hyperlink" Target="https://youtu.be/UjKmqD-Zv68?si=wDbayMv_NPqvUqul&amp;t=88" TargetMode="External"/><Relationship Id="rId20" Type="http://schemas.openxmlformats.org/officeDocument/2006/relationships/hyperlink" Target="https://en.wikipedia.org/wiki/Stephen_Wolfram" TargetMode="External"/><Relationship Id="rId41" Type="http://schemas.openxmlformats.org/officeDocument/2006/relationships/hyperlink" Target="https://youtu.be/xW0xjAMD60c?si=ZXj-Rllql-r5a2nq&amp;t=1114" TargetMode="External"/><Relationship Id="rId54" Type="http://schemas.openxmlformats.org/officeDocument/2006/relationships/hyperlink" Target="https://news.stanford.edu/stories/2022/04/disinformation-weakening-democracy-barack-obama-said" TargetMode="External"/><Relationship Id="rId62" Type="http://schemas.openxmlformats.org/officeDocument/2006/relationships/hyperlink" Target="https://youtu.be/1uIzS1uCOcE?si=NWE0TD6HYCW36wGR&amp;t=10" TargetMode="External"/><Relationship Id="rId70" Type="http://schemas.openxmlformats.org/officeDocument/2006/relationships/hyperlink" Target="https://en.wikipedia.org/wiki/Ray_Kurzweil" TargetMode="External"/><Relationship Id="rId75" Type="http://schemas.openxmlformats.org/officeDocument/2006/relationships/hyperlink" Target="https://www.metaculus.com/questions/9062/time-from-weak-agi-to-superintelligence/" TargetMode="External"/><Relationship Id="rId83" Type="http://schemas.openxmlformats.org/officeDocument/2006/relationships/printerSettings" Target="../printerSettings/printerSettings9.bin"/><Relationship Id="rId1" Type="http://schemas.openxmlformats.org/officeDocument/2006/relationships/hyperlink" Target="https://youtu.be/mofEOSUkMpA?si=QfSzvnSE0yUFORIs&amp;t=129" TargetMode="External"/><Relationship Id="rId6" Type="http://schemas.openxmlformats.org/officeDocument/2006/relationships/hyperlink" Target="https://en.wikipedia.org/wiki/Demis_Hassabis" TargetMode="External"/><Relationship Id="rId15" Type="http://schemas.openxmlformats.org/officeDocument/2006/relationships/hyperlink" Target="https://youtu.be/mofEOSUkMpA?si=b6iCZF1_uHrL_FFC&amp;t=131" TargetMode="External"/><Relationship Id="rId23" Type="http://schemas.openxmlformats.org/officeDocument/2006/relationships/hyperlink" Target="https://fortune.com/2023/05/03/google-deepmind-ceo-agi-artificial-intelligence/" TargetMode="External"/><Relationship Id="rId28" Type="http://schemas.openxmlformats.org/officeDocument/2006/relationships/hyperlink" Target="https://youtu.be/F6Mil5d7ANo?si=XCTjRJr6owOVLnQ4&amp;t=208" TargetMode="External"/><Relationship Id="rId36" Type="http://schemas.openxmlformats.org/officeDocument/2006/relationships/hyperlink" Target="https://youtu.be/UWh1MIMQd1Y?si=shlmCtbU-D49dEhe" TargetMode="External"/><Relationship Id="rId49" Type="http://schemas.openxmlformats.org/officeDocument/2006/relationships/hyperlink" Target="https://youtu.be/8fEEbKJoNbU?si=MSUnekR5OeuNFIaS&amp;t=3477" TargetMode="External"/><Relationship Id="rId57" Type="http://schemas.openxmlformats.org/officeDocument/2006/relationships/hyperlink" Target="https://youtu.be/pGftUCTqaGg?si=cPAYDdvLTI3pUPnf&amp;t=2568" TargetMode="External"/><Relationship Id="rId10" Type="http://schemas.openxmlformats.org/officeDocument/2006/relationships/hyperlink" Target="https://en.wikipedia.org/wiki/Vladimir_Putin" TargetMode="External"/><Relationship Id="rId31" Type="http://schemas.openxmlformats.org/officeDocument/2006/relationships/hyperlink" Target="https://youtu.be/xqS5PDYbTsE?si=wfGr2FkFQSXLVhQV&amp;t=1080" TargetMode="External"/><Relationship Id="rId44" Type="http://schemas.openxmlformats.org/officeDocument/2006/relationships/hyperlink" Target="https://youtu.be/b_DUft-BdIE?si=OOYznBPY90xi7tH2&amp;t=2749" TargetMode="External"/><Relationship Id="rId52" Type="http://schemas.openxmlformats.org/officeDocument/2006/relationships/hyperlink" Target="https://youtu.be/HRsVZuEMlvI?si=UvgqfVJBel8BAwW2" TargetMode="External"/><Relationship Id="rId60" Type="http://schemas.openxmlformats.org/officeDocument/2006/relationships/hyperlink" Target="https://youtu.be/w9WE1aOPjHc?si=wvrAAfgc0nRhFU3i" TargetMode="External"/><Relationship Id="rId65" Type="http://schemas.openxmlformats.org/officeDocument/2006/relationships/hyperlink" Target="https://www.youtube.com/watch?v=pGftUCTqaGg&amp;t=2568s" TargetMode="External"/><Relationship Id="rId73" Type="http://schemas.openxmlformats.org/officeDocument/2006/relationships/hyperlink" Target="https://www.metaculus.com/questions/5121/date-of-artificial-general-intelligence/" TargetMode="External"/><Relationship Id="rId78" Type="http://schemas.openxmlformats.org/officeDocument/2006/relationships/hyperlink" Target="https://www.youtube.com/watch?v=NDbNlPiS898&amp;t=127s" TargetMode="External"/><Relationship Id="rId81" Type="http://schemas.openxmlformats.org/officeDocument/2006/relationships/hyperlink" Target="https://betakit.com/new-turing-award-winner-richard-sutton-calls-doomers-out-of-line-talks-path-to-human-like-ai/?utm_source=chatgpt.com" TargetMode="External"/><Relationship Id="rId4" Type="http://schemas.openxmlformats.org/officeDocument/2006/relationships/hyperlink" Target="https://www.theverge.com/2024/7/11/24196746/heres-how-openai-will-determine-how-powerful-its-ai-systems-are" TargetMode="External"/><Relationship Id="rId9" Type="http://schemas.openxmlformats.org/officeDocument/2006/relationships/hyperlink" Target="https://en.wikipedia.org/wiki/Geoffrey_Hinton" TargetMode="External"/><Relationship Id="rId13" Type="http://schemas.openxmlformats.org/officeDocument/2006/relationships/hyperlink" Target="https://en.wikipedia.org/wiki/Max_Tegmark" TargetMode="External"/><Relationship Id="rId18" Type="http://schemas.openxmlformats.org/officeDocument/2006/relationships/hyperlink" Target="https://www.linkedin.com/in/aravind-srinivas-16051987/" TargetMode="External"/><Relationship Id="rId39" Type="http://schemas.openxmlformats.org/officeDocument/2006/relationships/hyperlink" Target="https://youtu.be/xW0xjAMD60c?si=BYU-FPlWr9vOTG_U&amp;t=1059" TargetMode="External"/><Relationship Id="rId34" Type="http://schemas.openxmlformats.org/officeDocument/2006/relationships/hyperlink" Target="https://darioamodei.com/machines-of-loving-grace" TargetMode="External"/><Relationship Id="rId50" Type="http://schemas.openxmlformats.org/officeDocument/2006/relationships/hyperlink" Target="https://youtu.be/8fEEbKJoNbU?si=SIyAQ2yuGJAWUSkP" TargetMode="External"/><Relationship Id="rId55" Type="http://schemas.openxmlformats.org/officeDocument/2006/relationships/hyperlink" Target="https://www.twz.com/14141/putin-says-whoever-has-the-best-artificial-intelligence-will-rule-the-world" TargetMode="External"/><Relationship Id="rId76" Type="http://schemas.openxmlformats.org/officeDocument/2006/relationships/hyperlink" Target="https://www.metaculus.com/" TargetMode="External"/><Relationship Id="rId7" Type="http://schemas.openxmlformats.org/officeDocument/2006/relationships/hyperlink" Target="https://www.linkedin.com/in/hmphd/" TargetMode="External"/><Relationship Id="rId71" Type="http://schemas.openxmlformats.org/officeDocument/2006/relationships/hyperlink" Target="https://www.linkedin.com/in/hmphd/" TargetMode="External"/><Relationship Id="rId2" Type="http://schemas.openxmlformats.org/officeDocument/2006/relationships/hyperlink" Target="https://en.wikipedia.org/wiki/Elon_Musk" TargetMode="External"/><Relationship Id="rId29" Type="http://schemas.openxmlformats.org/officeDocument/2006/relationships/hyperlink" Target="https://pauseai.info/pdoom" TargetMode="External"/><Relationship Id="rId24" Type="http://schemas.openxmlformats.org/officeDocument/2006/relationships/hyperlink" Target="https://en.wikipedia.org/wiki/J%C3%BCrgen_Schmidhuber" TargetMode="External"/><Relationship Id="rId40" Type="http://schemas.openxmlformats.org/officeDocument/2006/relationships/hyperlink" Target="https://youtu.be/xW0xjAMD60c?si=YgNJPN1UGHeZCJoe&amp;t=1088" TargetMode="External"/><Relationship Id="rId45" Type="http://schemas.openxmlformats.org/officeDocument/2006/relationships/hyperlink" Target="https://youtu.be/JAgHUDhaTU0?si=jkZbcpHlpU81e9J7&amp;t=4452" TargetMode="External"/><Relationship Id="rId66" Type="http://schemas.openxmlformats.org/officeDocument/2006/relationships/hyperlink" Target="https://youtu.be/sal78ACtGTc?si=6EL3gaXUd2utYPZ-&amp;t=49"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youtu.be/MGJpR591oaM?si=pXUUM1TqmPrUUSlm&amp;t=101" TargetMode="External"/><Relationship Id="rId13" Type="http://schemas.openxmlformats.org/officeDocument/2006/relationships/hyperlink" Target="https://youtu.be/6y1CyVYWBrw?si=e8XQ7kNLIoQG3UWY&amp;t=25" TargetMode="External"/><Relationship Id="rId3" Type="http://schemas.openxmlformats.org/officeDocument/2006/relationships/hyperlink" Target="https://en.wikipedia.org/wiki/Human_evolution" TargetMode="External"/><Relationship Id="rId7" Type="http://schemas.openxmlformats.org/officeDocument/2006/relationships/hyperlink" Target="https://youtu.be/oYmKOgeoOz4?si=9I4v5D4EyUCcz38E&amp;t=185" TargetMode="External"/><Relationship Id="rId12" Type="http://schemas.openxmlformats.org/officeDocument/2006/relationships/hyperlink" Target="https://youtu.be/kdsRB5WbanA?si=N6PftobVGVyYEVTy&amp;t=40" TargetMode="External"/><Relationship Id="rId2" Type="http://schemas.openxmlformats.org/officeDocument/2006/relationships/hyperlink" Target="https://youtu.be/oYmKOgeoOz4?si=9I4v5D4EyUCcz38E&amp;t=185" TargetMode="External"/><Relationship Id="rId16" Type="http://schemas.openxmlformats.org/officeDocument/2006/relationships/printerSettings" Target="../printerSettings/printerSettings10.bin"/><Relationship Id="rId1" Type="http://schemas.openxmlformats.org/officeDocument/2006/relationships/hyperlink" Target="https://youtu.be/oYmKOgeoOz4?si=9I4v5D4EyUCcz38E&amp;t=185" TargetMode="External"/><Relationship Id="rId6" Type="http://schemas.openxmlformats.org/officeDocument/2006/relationships/hyperlink" Target="https://youtu.be/MGJpR591oaM?si=pXUUM1TqmPrUUSlm&amp;t=101" TargetMode="External"/><Relationship Id="rId11" Type="http://schemas.openxmlformats.org/officeDocument/2006/relationships/hyperlink" Target="https://www.harvardmagazine.com/2009/09/james-watson-edward-o-wilson-intellectual-entente" TargetMode="External"/><Relationship Id="rId5" Type="http://schemas.openxmlformats.org/officeDocument/2006/relationships/hyperlink" Target="https://en.wikipedia.org/wiki/History_of_life" TargetMode="External"/><Relationship Id="rId15" Type="http://schemas.openxmlformats.org/officeDocument/2006/relationships/hyperlink" Target="https://www.youtube.com/watch?v=XOXMwsq7ACs" TargetMode="External"/><Relationship Id="rId10" Type="http://schemas.openxmlformats.org/officeDocument/2006/relationships/hyperlink" Target="https://x.com/SawyerMerritt/status/1844638183449104493" TargetMode="External"/><Relationship Id="rId4" Type="http://schemas.openxmlformats.org/officeDocument/2006/relationships/hyperlink" Target="https://en.wikipedia.org/wiki/Mammal" TargetMode="External"/><Relationship Id="rId9" Type="http://schemas.openxmlformats.org/officeDocument/2006/relationships/hyperlink" Target="https://youtu.be/MGJpR591oaM?si=pXUUM1TqmPrUUSlm&amp;t=101" TargetMode="External"/><Relationship Id="rId14" Type="http://schemas.openxmlformats.org/officeDocument/2006/relationships/hyperlink" Target="https://x.com/Tesla_Optimus/status/1866171391156113740"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youtu.be/hHA4-nEBer8?si=EgxR_NfIRt1Y_Pyq&amp;t=1411" TargetMode="External"/><Relationship Id="rId2" Type="http://schemas.openxmlformats.org/officeDocument/2006/relationships/hyperlink" Target="https://youtu.be/oYmKOgeoOz4?si=9I4v5D4EyUCcz38E&amp;t=185" TargetMode="External"/><Relationship Id="rId1" Type="http://schemas.openxmlformats.org/officeDocument/2006/relationships/hyperlink" Target="https://en.wikipedia.org/wiki/Human_evolution"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kryptex.com/en/hardware/nvidia-a100" TargetMode="External"/><Relationship Id="rId21" Type="http://schemas.openxmlformats.org/officeDocument/2006/relationships/hyperlink" Target="https://resources.nvidia.com/en-us-tensor-core/nvidia-tensor-core-gpu-datasheet" TargetMode="External"/><Relationship Id="rId63" Type="http://schemas.openxmlformats.org/officeDocument/2006/relationships/hyperlink" Target="https://www.notebookcheck.net/NVIDIA-GeForce-RTX-4070-Laptop-GPU-Benchmarks-and-Specs.675690.0.html" TargetMode="External"/><Relationship Id="rId159" Type="http://schemas.openxmlformats.org/officeDocument/2006/relationships/hyperlink" Target="https://d1.awsstatic.com/events/Summits/reinvent2022/CMP313_Accelerate-deep-learning-and-innovate-faster-with-AWS-Trainium.pdf" TargetMode="External"/><Relationship Id="rId170" Type="http://schemas.openxmlformats.org/officeDocument/2006/relationships/hyperlink" Target="https://cloud.google.com/tpu/docs/system-architecture-tpu-vm" TargetMode="External"/><Relationship Id="rId226" Type="http://schemas.openxmlformats.org/officeDocument/2006/relationships/hyperlink" Target="https://www.amazon.com/KingSpec-Gen4x4-Speed-Internal-PCIe4-0/dp/B0C58GTGPM?th=1" TargetMode="External"/><Relationship Id="rId107" Type="http://schemas.openxmlformats.org/officeDocument/2006/relationships/hyperlink" Target="https://resources.nvidia.com/en-us-grace-cpu/grace-hopper-superchip" TargetMode="External"/><Relationship Id="rId11" Type="http://schemas.openxmlformats.org/officeDocument/2006/relationships/hyperlink" Target="https://en.wikipedia.org/wiki/Apple_silicon" TargetMode="External"/><Relationship Id="rId32" Type="http://schemas.openxmlformats.org/officeDocument/2006/relationships/hyperlink" Target="https://cleantechnica.com/2019/06/15/teslas-new-hw3-self-driving-computer-its-a-beast-cleantechnica-deep-dive/" TargetMode="External"/><Relationship Id="rId53" Type="http://schemas.openxmlformats.org/officeDocument/2006/relationships/hyperlink" Target="https://resources.nvidia.com/en-us-grace-cpu/grace-hopper-superchip" TargetMode="External"/><Relationship Id="rId74" Type="http://schemas.openxmlformats.org/officeDocument/2006/relationships/hyperlink" Target="https://www.techpowerup.com/gpu-specs/radeon-instinct-mi300.c4019" TargetMode="External"/><Relationship Id="rId128" Type="http://schemas.openxmlformats.org/officeDocument/2006/relationships/hyperlink" Target="https://en.wikichip.org/wiki/tesla_(car_company)/fsd_chip" TargetMode="External"/><Relationship Id="rId149" Type="http://schemas.openxmlformats.org/officeDocument/2006/relationships/hyperlink" Target="https://en.wikipedia.org/wiki/Volta_%28microarchitecture%29" TargetMode="External"/><Relationship Id="rId5" Type="http://schemas.openxmlformats.org/officeDocument/2006/relationships/hyperlink" Target="https://www.cpu-monkey.com/en/cpu-apple_a15_bionic_5_gpu" TargetMode="External"/><Relationship Id="rId95" Type="http://schemas.openxmlformats.org/officeDocument/2006/relationships/hyperlink" Target="https://en.wikipedia.org/wiki/Stable_Diffusion" TargetMode="External"/><Relationship Id="rId160" Type="http://schemas.openxmlformats.org/officeDocument/2006/relationships/hyperlink" Target="https://youtu.be/YZzROmj5Ols?si=np6xBwjEw18EvhZ7&amp;t=402" TargetMode="External"/><Relationship Id="rId181" Type="http://schemas.openxmlformats.org/officeDocument/2006/relationships/hyperlink" Target="https://youtu.be/YZzROmj5Ols?si=AG9ysgWslgkKVNfM&amp;t=239" TargetMode="External"/><Relationship Id="rId216" Type="http://schemas.openxmlformats.org/officeDocument/2006/relationships/hyperlink" Target="https://www.tomshardware.com/news/nvidia-hopper-h100-80gb-price-revealed" TargetMode="External"/><Relationship Id="rId237" Type="http://schemas.openxmlformats.org/officeDocument/2006/relationships/hyperlink" Target="https://nvidianews.nvidia.com/news/nvidia-puts-grace-blackwell-on-every-desk-and-at-every-ai-developers-fingertips" TargetMode="External"/><Relationship Id="rId258" Type="http://schemas.openxmlformats.org/officeDocument/2006/relationships/hyperlink" Target="https://www.youtube.com/live/_waPvOwL9Z8?si=VBU0ZNmQv5gsYm3a&amp;t=5344" TargetMode="External"/><Relationship Id="rId22" Type="http://schemas.openxmlformats.org/officeDocument/2006/relationships/hyperlink" Target="https://resources.nvidia.com/en-us-tensor-core/nvidia-tensor-core-gpu-datasheet" TargetMode="External"/><Relationship Id="rId43" Type="http://schemas.openxmlformats.org/officeDocument/2006/relationships/hyperlink" Target="https://en.wikipedia.org/wiki/Apple_M2" TargetMode="External"/><Relationship Id="rId64" Type="http://schemas.openxmlformats.org/officeDocument/2006/relationships/hyperlink" Target="https://www.notebookcheck.net/NVIDIA-GeForce-RTX-4070-Laptop-GPU-Benchmarks-and-Specs.675690.0.html" TargetMode="External"/><Relationship Id="rId118" Type="http://schemas.openxmlformats.org/officeDocument/2006/relationships/hyperlink" Target="https://en.wikipedia.org/wiki/Large_language_model" TargetMode="External"/><Relationship Id="rId139" Type="http://schemas.openxmlformats.org/officeDocument/2006/relationships/hyperlink" Target="https://f.hubspotusercontent30.net/hubfs/8968533/WSE-2%20Datasheet.pdf" TargetMode="External"/><Relationship Id="rId85" Type="http://schemas.openxmlformats.org/officeDocument/2006/relationships/hyperlink" Target="https://resources.nvidia.com/en-us-grace-cpu/grace-hopper-superchip" TargetMode="External"/><Relationship Id="rId150" Type="http://schemas.openxmlformats.org/officeDocument/2006/relationships/hyperlink" Target="https://images.nvidia.com/content/technologies/volta/pdf/volta-v100-datasheet-update-us-1165301-r5.pdf" TargetMode="External"/><Relationship Id="rId171" Type="http://schemas.openxmlformats.org/officeDocument/2006/relationships/hyperlink" Target="https://gwern.net/doc/ai/scaling/hardware/2021-jouppi.pdf" TargetMode="External"/><Relationship Id="rId192" Type="http://schemas.openxmlformats.org/officeDocument/2006/relationships/hyperlink" Target="https://awsdocs-neuron.readthedocs-hosted.com/en/latest/general/arch/neuron-hardware/trainium.html" TargetMode="External"/><Relationship Id="rId206" Type="http://schemas.openxmlformats.org/officeDocument/2006/relationships/hyperlink" Target="https://www.intel.com/content/www/us/en/content-details/817486/intel-gaudi-3-ai-accelerator-white-paper.html" TargetMode="External"/><Relationship Id="rId227" Type="http://schemas.openxmlformats.org/officeDocument/2006/relationships/hyperlink" Target="https://en.wikichip.org/wiki/mobileye/eyeq/eyeq5" TargetMode="External"/><Relationship Id="rId248" Type="http://schemas.openxmlformats.org/officeDocument/2006/relationships/hyperlink" Target="https://youtu.be/S9L2WGf1KrM?si=SwwHF2e1YyDxtoC7" TargetMode="External"/><Relationship Id="rId12" Type="http://schemas.openxmlformats.org/officeDocument/2006/relationships/hyperlink" Target="https://en.wikipedia.org/wiki/Apple_silicon" TargetMode="External"/><Relationship Id="rId33" Type="http://schemas.openxmlformats.org/officeDocument/2006/relationships/hyperlink" Target="https://www.youtube.com/watch?v=3ZoP1GCNwYE&amp;t=318" TargetMode="External"/><Relationship Id="rId108" Type="http://schemas.openxmlformats.org/officeDocument/2006/relationships/hyperlink" Target="https://resources.nvidia.com/en-us-grace-cpu/grace-hopper-superchip" TargetMode="External"/><Relationship Id="rId129" Type="http://schemas.openxmlformats.org/officeDocument/2006/relationships/hyperlink" Target="https://www.nvidia.com/content/dam/en-zz/Solutions/gtcf21/jetson-orin/nvidia-jetson-agx-orin-technical-brief.pdf" TargetMode="External"/><Relationship Id="rId54" Type="http://schemas.openxmlformats.org/officeDocument/2006/relationships/hyperlink" Target="https://resources.nvidia.com/en-us-grace-cpu/grace-hopper-superchip" TargetMode="External"/><Relationship Id="rId75" Type="http://schemas.openxmlformats.org/officeDocument/2006/relationships/hyperlink" Target="https://www.techpowerup.com/gpu-specs/geforce-rtx-4070-mobile.c3944" TargetMode="External"/><Relationship Id="rId96" Type="http://schemas.openxmlformats.org/officeDocument/2006/relationships/hyperlink" Target="https://arxiv.org/abs/2302.05442" TargetMode="External"/><Relationship Id="rId140" Type="http://schemas.openxmlformats.org/officeDocument/2006/relationships/hyperlink" Target="https://en.wikipedia.org/wiki/Metric_prefix" TargetMode="External"/><Relationship Id="rId161" Type="http://schemas.openxmlformats.org/officeDocument/2006/relationships/hyperlink" Target="https://youtu.be/YZzROmj5Ols?si=np6xBwjEw18EvhZ7&amp;t=402" TargetMode="External"/><Relationship Id="rId182" Type="http://schemas.openxmlformats.org/officeDocument/2006/relationships/hyperlink" Target="https://www.nextplatform.com/2023/05/18/meta-platforms-crafts-homegrown-ai-inference-chip-ai-training-next/" TargetMode="External"/><Relationship Id="rId217" Type="http://schemas.openxmlformats.org/officeDocument/2006/relationships/hyperlink" Target="https://www.tomshardware.com/news/nvidia-hopper-h100-80gb-price-revealed" TargetMode="External"/><Relationship Id="rId6" Type="http://schemas.openxmlformats.org/officeDocument/2006/relationships/hyperlink" Target="https://en.wikipedia.org/wiki/Apple_silicon" TargetMode="External"/><Relationship Id="rId238" Type="http://schemas.openxmlformats.org/officeDocument/2006/relationships/hyperlink" Target="https://youtu.be/N6xDzN71BYo?si=h4yU0DcKOhM2VH5S&amp;t=1750" TargetMode="External"/><Relationship Id="rId259" Type="http://schemas.openxmlformats.org/officeDocument/2006/relationships/hyperlink" Target="https://www.youtube.com/live/_waPvOwL9Z8?si=m3ntzMtthxCApiy9&amp;t=5146" TargetMode="External"/><Relationship Id="rId23" Type="http://schemas.openxmlformats.org/officeDocument/2006/relationships/hyperlink" Target="https://resources.nvidia.com/en-us-tensor-core/nvidia-tensor-core-gpu-datasheet" TargetMode="External"/><Relationship Id="rId119" Type="http://schemas.openxmlformats.org/officeDocument/2006/relationships/hyperlink" Target="https://www.zdnet.com/article/apple-m2-ultra-what-makes-it-special-and-for-whom/" TargetMode="External"/><Relationship Id="rId44" Type="http://schemas.openxmlformats.org/officeDocument/2006/relationships/hyperlink" Target="https://www.cpu-monkey.com/en/cpu-apple_m2_ultra_60_gpu" TargetMode="External"/><Relationship Id="rId65" Type="http://schemas.openxmlformats.org/officeDocument/2006/relationships/hyperlink" Target="https://www.dell.com/en-us/shop/workstations-isv-certified/precision-7920-tower-workstation/spd/precision-7920-workstation/xctopt7920us_4?configurationid=3eb87352-f557-4fff-abfe-5a9a62aa8b6a" TargetMode="External"/><Relationship Id="rId86" Type="http://schemas.openxmlformats.org/officeDocument/2006/relationships/hyperlink" Target="https://www.techpowerup.com/gpu-specs/a100-pcie-40-gb.c3623" TargetMode="External"/><Relationship Id="rId130" Type="http://schemas.openxmlformats.org/officeDocument/2006/relationships/hyperlink" Target="https://en.wikipedia.org/wiki/DDR5_SDRAM" TargetMode="External"/><Relationship Id="rId151" Type="http://schemas.openxmlformats.org/officeDocument/2006/relationships/hyperlink" Target="https://images.nvidia.com/content/technologies/volta/pdf/volta-v100-datasheet-update-us-1165301-r5.pdf" TargetMode="External"/><Relationship Id="rId172" Type="http://schemas.openxmlformats.org/officeDocument/2006/relationships/hyperlink" Target="https://cloud.google.com/tpu/docs/system-architecture-tpu-vm" TargetMode="External"/><Relationship Id="rId193" Type="http://schemas.openxmlformats.org/officeDocument/2006/relationships/hyperlink" Target="https://awsdocs-neuron.readthedocs-hosted.com/en/latest/general/arch/neuron-hardware/trainium.html" TargetMode="External"/><Relationship Id="rId207" Type="http://schemas.openxmlformats.org/officeDocument/2006/relationships/hyperlink" Target="https://www.youtube.com/watch?v=ODSJsviD_SU&amp;t=2566s%20(2:09:55)" TargetMode="External"/><Relationship Id="rId228" Type="http://schemas.openxmlformats.org/officeDocument/2006/relationships/hyperlink" Target="http://www.researchinchina.com/Htmls/Report/2024/75004.html" TargetMode="External"/><Relationship Id="rId249" Type="http://schemas.openxmlformats.org/officeDocument/2006/relationships/hyperlink" Target="https://cerebras.ai/product-chip/" TargetMode="External"/><Relationship Id="rId13" Type="http://schemas.openxmlformats.org/officeDocument/2006/relationships/hyperlink" Target="https://en.wikipedia.org/wiki/Apple_silicon" TargetMode="External"/><Relationship Id="rId109" Type="http://schemas.openxmlformats.org/officeDocument/2006/relationships/hyperlink" Target="https://en.wikipedia.org/wiki/Human_brain" TargetMode="External"/><Relationship Id="rId260" Type="http://schemas.openxmlformats.org/officeDocument/2006/relationships/hyperlink" Target="https://www.youtube.com/live/_waPvOwL9Z8?si=0mA_EjuWYvWZdKWv&amp;t=5242" TargetMode="External"/><Relationship Id="rId34" Type="http://schemas.openxmlformats.org/officeDocument/2006/relationships/hyperlink" Target="https://nvidianews.nvidia.com/news/nvidia-introduces-drive-agx-orin-advanced-software-defined-platform-for-autonomous-machines" TargetMode="External"/><Relationship Id="rId55" Type="http://schemas.openxmlformats.org/officeDocument/2006/relationships/hyperlink" Target="https://www.tomshardware.com/news/nvidia-unveils-dgx-gh200-supercomputer-and-mgx-systems-grace-hopper-superchips-in-production" TargetMode="External"/><Relationship Id="rId76" Type="http://schemas.openxmlformats.org/officeDocument/2006/relationships/hyperlink" Target="https://www.techpowerup.com/gpu-specs/geforce-rtx-4070-mobile.c3944" TargetMode="External"/><Relationship Id="rId97" Type="http://schemas.openxmlformats.org/officeDocument/2006/relationships/hyperlink" Target="https://www.nvidia.com/content/dam/en-zz/Solutions/gtcf21/jetson-orin/nvidia-jetson-agx-orin-technical-brief.pdf" TargetMode="External"/><Relationship Id="rId120" Type="http://schemas.openxmlformats.org/officeDocument/2006/relationships/hyperlink" Target="https://www.zdnet.com/article/apple-m2-ultra-what-makes-it-special-and-for-whom/" TargetMode="External"/><Relationship Id="rId141" Type="http://schemas.openxmlformats.org/officeDocument/2006/relationships/hyperlink" Target="https://youtu.be/Y6Sgp7y178k?t=177" TargetMode="External"/><Relationship Id="rId7" Type="http://schemas.openxmlformats.org/officeDocument/2006/relationships/hyperlink" Target="https://en.wikipedia.org/wiki/Apple_silicon" TargetMode="External"/><Relationship Id="rId162" Type="http://schemas.openxmlformats.org/officeDocument/2006/relationships/hyperlink" Target="https://youtu.be/YZzROmj5Ols?si=BajlxtFnBcGDwmLY&amp;t=403" TargetMode="External"/><Relationship Id="rId183" Type="http://schemas.openxmlformats.org/officeDocument/2006/relationships/hyperlink" Target="https://www.nextplatform.com/2023/05/18/meta-platforms-crafts-homegrown-ai-inference-chip-ai-training-next/" TargetMode="External"/><Relationship Id="rId218" Type="http://schemas.openxmlformats.org/officeDocument/2006/relationships/hyperlink" Target="https://www.tomshardware.com/pc-components/gpus/nvidias-next-gen-blackwell-ai-gpus-to-cost-up-to-dollar70000-fully-equipped-servers-range-up-to-dollar3000000-report" TargetMode="External"/><Relationship Id="rId239" Type="http://schemas.openxmlformats.org/officeDocument/2006/relationships/hyperlink" Target="https://blogs.nvidia.com/blog/drive-thor/" TargetMode="External"/><Relationship Id="rId250" Type="http://schemas.openxmlformats.org/officeDocument/2006/relationships/hyperlink" Target="https://www.techpowerup.com/gpu-specs/docs/nvidia-gh100-architecture.pdf%20page%2011" TargetMode="External"/><Relationship Id="rId24" Type="http://schemas.openxmlformats.org/officeDocument/2006/relationships/hyperlink" Target="https://resources.nvidia.com/en-us-tensor-core/nvidia-tensor-core-gpu-datasheet" TargetMode="External"/><Relationship Id="rId45" Type="http://schemas.openxmlformats.org/officeDocument/2006/relationships/hyperlink" Target="https://www.techpowerup.com/gpu-specs/a100-pcie-40-gb.c3623" TargetMode="External"/><Relationship Id="rId66" Type="http://schemas.openxmlformats.org/officeDocument/2006/relationships/hyperlink" Target="https://f.hubspotusercontent30.net/hubfs/8968533/CS-2%20Data%20Sheet.pdf" TargetMode="External"/><Relationship Id="rId87" Type="http://schemas.openxmlformats.org/officeDocument/2006/relationships/hyperlink" Target="https://www.cpu-monkey.com/en/cpu-apple_a15_bionic_5_gpu" TargetMode="External"/><Relationship Id="rId110" Type="http://schemas.openxmlformats.org/officeDocument/2006/relationships/hyperlink" Target="https://hypertextbook.com/facts/2001/JacquelineLing.shtml" TargetMode="External"/><Relationship Id="rId131" Type="http://schemas.openxmlformats.org/officeDocument/2006/relationships/hyperlink" Target="https://www.notebookcheck.net/NVIDIA-GeForce-RTX-4070-Laptop-GPU-Benchmarks-and-Specs.675690.0.html" TargetMode="External"/><Relationship Id="rId152" Type="http://schemas.openxmlformats.org/officeDocument/2006/relationships/hyperlink" Target="https://www.tomshardware.com/news/amd-expands-mi300-with-gpu-only-model-eight-gpu-platform-with-15tb-of-hbm3" TargetMode="External"/><Relationship Id="rId173" Type="http://schemas.openxmlformats.org/officeDocument/2006/relationships/hyperlink" Target="https://gwern.net/doc/ai/scaling/hardware/2021-jouppi.pdf" TargetMode="External"/><Relationship Id="rId194" Type="http://schemas.openxmlformats.org/officeDocument/2006/relationships/hyperlink" Target="https://awsdocs-neuron.readthedocs-hosted.com/en/latest/general/arch/neuron-hardware/trainium.html" TargetMode="External"/><Relationship Id="rId208" Type="http://schemas.openxmlformats.org/officeDocument/2006/relationships/hyperlink" Target="https://www.youtube.com/live/remZ1KMR_Z4?si=0MEFUZiNG85Inuls&amp;t=4879" TargetMode="External"/><Relationship Id="rId229" Type="http://schemas.openxmlformats.org/officeDocument/2006/relationships/hyperlink" Target="https://developer.nvidia.com/embedded/downloads" TargetMode="External"/><Relationship Id="rId240" Type="http://schemas.openxmlformats.org/officeDocument/2006/relationships/hyperlink" Target="https://www.theregister.com/2025/01/07/nvidia_project_digits_mini_pc/%20can%20cluser%20to%202%20units%20for%20a%20combined%20256GB%20memory%20enough%20say%20Nvidia%20to%20run%20Lama%20405B%20model" TargetMode="External"/><Relationship Id="rId261" Type="http://schemas.openxmlformats.org/officeDocument/2006/relationships/hyperlink" Target="https://www.youtube.com/live/_waPvOwL9Z8?si=VBU0ZNmQv5gsYm3a&amp;t=5344" TargetMode="External"/><Relationship Id="rId14" Type="http://schemas.openxmlformats.org/officeDocument/2006/relationships/hyperlink" Target="https://en.wikipedia.org/wiki/Apple_silicon" TargetMode="External"/><Relationship Id="rId35" Type="http://schemas.openxmlformats.org/officeDocument/2006/relationships/hyperlink" Target="https://en.wikichip.org/wiki/tesla_(car_company)/fsd_chip?utm_content=cmp-true" TargetMode="External"/><Relationship Id="rId56" Type="http://schemas.openxmlformats.org/officeDocument/2006/relationships/hyperlink" Target="https://www.hardware-corner.net/guides/computer-to-run-llama-ai-model/" TargetMode="External"/><Relationship Id="rId77" Type="http://schemas.openxmlformats.org/officeDocument/2006/relationships/hyperlink" Target="https://www.tomshardware.com/news/new-amd-instinct-mi300-details-emerge-debuts-in-2-exaflop-el-capitan-supercomputer" TargetMode="External"/><Relationship Id="rId100" Type="http://schemas.openxmlformats.org/officeDocument/2006/relationships/hyperlink" Target="https://www.nvidia.com/content/dam/en-zz/Solutions/gtcf21/jetson-orin/nvidia-jetson-agx-orin-technical-brief.pdf" TargetMode="External"/><Relationship Id="rId8" Type="http://schemas.openxmlformats.org/officeDocument/2006/relationships/hyperlink" Target="https://en.wikipedia.org/wiki/Apple_silicon" TargetMode="External"/><Relationship Id="rId98" Type="http://schemas.openxmlformats.org/officeDocument/2006/relationships/hyperlink" Target="https://blogs.nvidia.com/blog/2022/09/20/drive-thor/" TargetMode="External"/><Relationship Id="rId121" Type="http://schemas.openxmlformats.org/officeDocument/2006/relationships/hyperlink" Target="https://www.cpu-monkey.com/en/cpu-apple_a15_bionic_5_gpu" TargetMode="External"/><Relationship Id="rId142" Type="http://schemas.openxmlformats.org/officeDocument/2006/relationships/hyperlink" Target="https://cleantechnica.com/2019/06/15/teslas-new-hw3-self-driving-computer-its-a-beast-cleantechnica-deep-dive/" TargetMode="External"/><Relationship Id="rId163" Type="http://schemas.openxmlformats.org/officeDocument/2006/relationships/hyperlink" Target="https://youtu.be/YZzROmj5Ols?si=BajlxtFnBcGDwmLY&amp;t=403" TargetMode="External"/><Relationship Id="rId184" Type="http://schemas.openxmlformats.org/officeDocument/2006/relationships/hyperlink" Target="https://youtu.be/YZzROmj5Ols?si=0XtFAIohph3stdz9&amp;t=275" TargetMode="External"/><Relationship Id="rId219" Type="http://schemas.openxmlformats.org/officeDocument/2006/relationships/hyperlink" Target="https://www.tomshardware.com/pc-components/gpus/nvidias-next-gen-blackwell-ai-gpus-to-cost-up-to-dollar70000-fully-equipped-servers-range-up-to-dollar3000000-report" TargetMode="External"/><Relationship Id="rId230" Type="http://schemas.openxmlformats.org/officeDocument/2006/relationships/hyperlink" Target="https://developer.nvidia.com/embedded/downloads" TargetMode="External"/><Relationship Id="rId251" Type="http://schemas.openxmlformats.org/officeDocument/2006/relationships/hyperlink" Target="https://www.groq.com/wp-content/uploads/2022/10/GroqChip%E2%84%A2-Processor-Product-Brief-v1.5.pdf?utm_source=chatgpt.com" TargetMode="External"/><Relationship Id="rId25" Type="http://schemas.openxmlformats.org/officeDocument/2006/relationships/hyperlink" Target="https://developer.nvidia.com/blog/nvidia-hopper-architecture-in-depth/" TargetMode="External"/><Relationship Id="rId46" Type="http://schemas.openxmlformats.org/officeDocument/2006/relationships/hyperlink" Target="https://www.techpowerup.com/gpu-specs/a100-pcie-40-gb.c3623" TargetMode="External"/><Relationship Id="rId67" Type="http://schemas.openxmlformats.org/officeDocument/2006/relationships/hyperlink" Target="https://www.cerebras.net/condor-galaxy-1" TargetMode="External"/><Relationship Id="rId88" Type="http://schemas.openxmlformats.org/officeDocument/2006/relationships/hyperlink" Target="https://en.wikichip.org/wiki/tesla_(car_company)/fsd_chip" TargetMode="External"/><Relationship Id="rId111" Type="http://schemas.openxmlformats.org/officeDocument/2006/relationships/hyperlink" Target="https://developer.nvidia.com/blog/nvidia-hopper-architecture-in-depth/" TargetMode="External"/><Relationship Id="rId132" Type="http://schemas.openxmlformats.org/officeDocument/2006/relationships/hyperlink" Target="https://www.notebookcheck.net/NVIDIA-GeForce-RTX-4070-Laptop-GPU-Benchmarks-and-Specs.675690.0.html" TargetMode="External"/><Relationship Id="rId153" Type="http://schemas.openxmlformats.org/officeDocument/2006/relationships/hyperlink" Target="https://www.micron.com/products/nand-flash/232-layer-nand" TargetMode="External"/><Relationship Id="rId174" Type="http://schemas.openxmlformats.org/officeDocument/2006/relationships/hyperlink" Target="https://youtu.be/YZzROmj5Ols?si=70XR4fNTExe-Cf1z&amp;t=223" TargetMode="External"/><Relationship Id="rId195" Type="http://schemas.openxmlformats.org/officeDocument/2006/relationships/hyperlink" Target="https://en.wikipedia.org/wiki/Apple_A17" TargetMode="External"/><Relationship Id="rId209" Type="http://schemas.openxmlformats.org/officeDocument/2006/relationships/hyperlink" Target="https://www.cudocompute.com/blog/nvidias-blackwell-architecture-breaking-down-the-b100-b200-and-gb200" TargetMode="External"/><Relationship Id="rId220" Type="http://schemas.openxmlformats.org/officeDocument/2006/relationships/hyperlink" Target="https://www.youtube.com/live/Y2F8yisiS6E?si=9Z5Da4BQy12XJ1mw&amp;t=1640" TargetMode="External"/><Relationship Id="rId241" Type="http://schemas.openxmlformats.org/officeDocument/2006/relationships/hyperlink" Target="https://www.youtube.com/live/k82RwXqZHY8?si=6DOHU0vcZAIKS9X-&amp;t=4183" TargetMode="External"/><Relationship Id="rId15" Type="http://schemas.openxmlformats.org/officeDocument/2006/relationships/hyperlink" Target="https://en.wikipedia.org/wiki/Apple_silicon" TargetMode="External"/><Relationship Id="rId36" Type="http://schemas.openxmlformats.org/officeDocument/2006/relationships/hyperlink" Target="https://www.youtube.com/watch?v=3ZoP1GCNwYE&amp;t=590s" TargetMode="External"/><Relationship Id="rId57" Type="http://schemas.openxmlformats.org/officeDocument/2006/relationships/hyperlink" Target="https://www.pugetsystems.com/solutions/scientific-computing-workstations/machine-learning-ai/hardware-recommendations/" TargetMode="External"/><Relationship Id="rId262" Type="http://schemas.openxmlformats.org/officeDocument/2006/relationships/hyperlink" Target="https://www.youtube.com/live/_waPvOwL9Z8?si=VBU0ZNmQv5gsYm3a&amp;t=5344" TargetMode="External"/><Relationship Id="rId78" Type="http://schemas.openxmlformats.org/officeDocument/2006/relationships/hyperlink" Target="https://www.techpowerup.com/gpu-specs/radeon-instinct-mi300.c4019" TargetMode="External"/><Relationship Id="rId99" Type="http://schemas.openxmlformats.org/officeDocument/2006/relationships/hyperlink" Target="https://www.youtube.com/watch?v=1uIzS1uCOcE" TargetMode="External"/><Relationship Id="rId101" Type="http://schemas.openxmlformats.org/officeDocument/2006/relationships/hyperlink" Target="https://www.beren.io/2022-08-06-The-scale-of-the-brain-vs-machine-learning/" TargetMode="External"/><Relationship Id="rId122" Type="http://schemas.openxmlformats.org/officeDocument/2006/relationships/hyperlink" Target="https://www.cpu-monkey.com/en/cpu-apple_m1_ultra_64_gpu" TargetMode="External"/><Relationship Id="rId143" Type="http://schemas.openxmlformats.org/officeDocument/2006/relationships/hyperlink" Target="https://en.wikipedia.org/wiki/Volta_%28microarchitecture%29" TargetMode="External"/><Relationship Id="rId164" Type="http://schemas.openxmlformats.org/officeDocument/2006/relationships/hyperlink" Target="https://youtu.be/YZzROmj5Ols?si=BajlxtFnBcGDwmLY&amp;t=403" TargetMode="External"/><Relationship Id="rId185" Type="http://schemas.openxmlformats.org/officeDocument/2006/relationships/hyperlink" Target="https://www.tomsguide.com/news/microsoft-readies-own-ai-chip-everything-you-need-to-know" TargetMode="External"/><Relationship Id="rId9" Type="http://schemas.openxmlformats.org/officeDocument/2006/relationships/hyperlink" Target="https://en.wikipedia.org/wiki/Apple_silicon" TargetMode="External"/><Relationship Id="rId210" Type="http://schemas.openxmlformats.org/officeDocument/2006/relationships/hyperlink" Target="https://www.cudocompute.com/blog/nvidias-blackwell-architecture-breaking-down-the-b100-b200-and-gb200" TargetMode="External"/><Relationship Id="rId26" Type="http://schemas.openxmlformats.org/officeDocument/2006/relationships/hyperlink" Target="https://developer.nvidia.com/blog/nvidia-hopper-architecture-in-depth/" TargetMode="External"/><Relationship Id="rId231" Type="http://schemas.openxmlformats.org/officeDocument/2006/relationships/hyperlink" Target="http://www.researchinchina.com/Htmls/Report/2024/75004.html" TargetMode="External"/><Relationship Id="rId252" Type="http://schemas.openxmlformats.org/officeDocument/2006/relationships/hyperlink" Target="http://www.researchinchina.com/Htmls/Report/2024/75004.html" TargetMode="External"/><Relationship Id="rId47" Type="http://schemas.openxmlformats.org/officeDocument/2006/relationships/hyperlink" Target="https://www.techpowerup.com/gpu-specs/a100-pcie-40-gb.c3623" TargetMode="External"/><Relationship Id="rId68" Type="http://schemas.openxmlformats.org/officeDocument/2006/relationships/hyperlink" Target="https://www.youtube.com/watch?app=desktop&amp;v=oVHkXEzKzxM&amp;feature=youtu.be&amp;noapp=1" TargetMode="External"/><Relationship Id="rId89" Type="http://schemas.openxmlformats.org/officeDocument/2006/relationships/hyperlink" Target="https://cleantechnica.com/2019/06/15/teslas-new-hw3-self-driving-computer-its-a-beast-cleantechnica-deep-dive/" TargetMode="External"/><Relationship Id="rId112" Type="http://schemas.openxmlformats.org/officeDocument/2006/relationships/hyperlink" Target="https://resources.nvidia.com/en-us-grace-cpu/grace-hopper-superchip" TargetMode="External"/><Relationship Id="rId133" Type="http://schemas.openxmlformats.org/officeDocument/2006/relationships/hyperlink" Target="https://f.hubspotusercontent30.net/hubfs/8968533/WSE-2%20Datasheet.pdf" TargetMode="External"/><Relationship Id="rId154" Type="http://schemas.openxmlformats.org/officeDocument/2006/relationships/hyperlink" Target="https://www.youtube.com/live/ODSJsviD_SU?si=M-0Z5JAt7y0Q4H5N&amp;t=7786" TargetMode="External"/><Relationship Id="rId175" Type="http://schemas.openxmlformats.org/officeDocument/2006/relationships/hyperlink" Target="https://youtu.be/YZzROmj5Ols?si=np6xBwjEw18EvhZ7&amp;t=402" TargetMode="External"/><Relationship Id="rId196" Type="http://schemas.openxmlformats.org/officeDocument/2006/relationships/hyperlink" Target="https://en.wikipedia.org/wiki/Apple_A17" TargetMode="External"/><Relationship Id="rId200" Type="http://schemas.openxmlformats.org/officeDocument/2006/relationships/hyperlink" Target="https://9to5mac.com/2023/09/15/a17-pro-vs-a16-bionic-comparison/" TargetMode="External"/><Relationship Id="rId16" Type="http://schemas.openxmlformats.org/officeDocument/2006/relationships/hyperlink" Target="https://en.wikipedia.org/wiki/Apple_silicon" TargetMode="External"/><Relationship Id="rId221" Type="http://schemas.openxmlformats.org/officeDocument/2006/relationships/hyperlink" Target="https://www.seeedstudio.com/blog/2022/04/24/nvidia-orin-bring-your-next-gen-ai-products-with-jetson-agx-orin-and-nx-orin/" TargetMode="External"/><Relationship Id="rId242" Type="http://schemas.openxmlformats.org/officeDocument/2006/relationships/hyperlink" Target="https://nvidianews.nvidia.com/news/nvidia-jetson-tx2-enables-ai-at-the-edge" TargetMode="External"/><Relationship Id="rId263" Type="http://schemas.openxmlformats.org/officeDocument/2006/relationships/hyperlink" Target="https://www.youtube.com/live/_waPvOwL9Z8?si=VBU0ZNmQv5gsYm3a&amp;t=5344" TargetMode="External"/><Relationship Id="rId37" Type="http://schemas.openxmlformats.org/officeDocument/2006/relationships/hyperlink" Target="https://en.wikichip.org/wiki/tesla_(car_company)/fsd_chip?utm_content=cmp-true" TargetMode="External"/><Relationship Id="rId58" Type="http://schemas.openxmlformats.org/officeDocument/2006/relationships/hyperlink" Target="https://www.techpowerup.com/cpu-specs/core-i9-13980hx.c3016" TargetMode="External"/><Relationship Id="rId79" Type="http://schemas.openxmlformats.org/officeDocument/2006/relationships/hyperlink" Target="https://en.wikichip.org/wiki/tesla_(car_company)/fsd_chip" TargetMode="External"/><Relationship Id="rId102" Type="http://schemas.openxmlformats.org/officeDocument/2006/relationships/hyperlink" Target="https://superuser.com/questions/282202/which-consumes-more-power-hard-drive-or-sd-card-card-reader" TargetMode="External"/><Relationship Id="rId123" Type="http://schemas.openxmlformats.org/officeDocument/2006/relationships/hyperlink" Target="https://www.techpowerup.com/gpu-specs/a100-pcie-40-gb.c3623" TargetMode="External"/><Relationship Id="rId144" Type="http://schemas.openxmlformats.org/officeDocument/2006/relationships/hyperlink" Target="https://images.nvidia.com/content/technologies/volta/pdf/volta-v100-datasheet-update-us-1165301-r5.pdf" TargetMode="External"/><Relationship Id="rId90" Type="http://schemas.openxmlformats.org/officeDocument/2006/relationships/hyperlink" Target="https://www.youtube.com/watch?v=3tV1KPkuiBI&amp;t=2145s" TargetMode="External"/><Relationship Id="rId165" Type="http://schemas.openxmlformats.org/officeDocument/2006/relationships/hyperlink" Target="https://youtu.be/YZzROmj5Ols?si=BajlxtFnBcGDwmLY&amp;t=403" TargetMode="External"/><Relationship Id="rId186" Type="http://schemas.openxmlformats.org/officeDocument/2006/relationships/hyperlink" Target="https://www.tomsguide.com/news/microsoft-readies-own-ai-chip-everything-you-need-to-know" TargetMode="External"/><Relationship Id="rId211" Type="http://schemas.openxmlformats.org/officeDocument/2006/relationships/hyperlink" Target="https://www.youtube.com/watch?v=3tV1KPkuiBI&amp;t=2145s" TargetMode="External"/><Relationship Id="rId232" Type="http://schemas.openxmlformats.org/officeDocument/2006/relationships/hyperlink" Target="https://www.seeedstudio.com/blog/2022/04/24/nvidia-orin-bring-your-next-gen-ai-products-with-jetson-agx-orin-and-nx-orin/" TargetMode="External"/><Relationship Id="rId253" Type="http://schemas.openxmlformats.org/officeDocument/2006/relationships/hyperlink" Target="https://www.youtube.com/live/Y2F8yisiS6E?si=xVVo7uADgXCg8scM&amp;t=1643" TargetMode="External"/><Relationship Id="rId27" Type="http://schemas.openxmlformats.org/officeDocument/2006/relationships/hyperlink" Target="https://www.guru3d.com/news-story/nvidia-will-manufacture-h100-gpus-using-tsmc-4-nm-process.html" TargetMode="External"/><Relationship Id="rId48" Type="http://schemas.openxmlformats.org/officeDocument/2006/relationships/hyperlink" Target="https://www.techpowerup.com/gpu-specs/a100-pcie-40-gb.c3623" TargetMode="External"/><Relationship Id="rId69" Type="http://schemas.openxmlformats.org/officeDocument/2006/relationships/hyperlink" Target="https://www.nvidia.com/content/dam/en-zz/Solutions/gtcf21/jetson-orin/nvidia-jetson-agx-orin-technical-brief.pdf" TargetMode="External"/><Relationship Id="rId113" Type="http://schemas.openxmlformats.org/officeDocument/2006/relationships/hyperlink" Target="https://www.nvidia.com/en-us/data-center/grace-hopper-superchip/" TargetMode="External"/><Relationship Id="rId134" Type="http://schemas.openxmlformats.org/officeDocument/2006/relationships/hyperlink" Target="https://f.hubspotusercontent30.net/hubfs/8968533/WSE-2%20Datasheet.pdf" TargetMode="External"/><Relationship Id="rId80" Type="http://schemas.openxmlformats.org/officeDocument/2006/relationships/hyperlink" Target="https://en.wikipedia.org/wiki/Transistor_count" TargetMode="External"/><Relationship Id="rId155" Type="http://schemas.openxmlformats.org/officeDocument/2006/relationships/hyperlink" Target="https://www.youtube.com/live/ODSJsviD_SU?si=M-0Z5JAt7y0Q4H5N&amp;t=7786" TargetMode="External"/><Relationship Id="rId176" Type="http://schemas.openxmlformats.org/officeDocument/2006/relationships/hyperlink" Target="https://youtu.be/YZzROmj5Ols?si=np6xBwjEw18EvhZ7&amp;t=402" TargetMode="External"/><Relationship Id="rId197" Type="http://schemas.openxmlformats.org/officeDocument/2006/relationships/hyperlink" Target="https://en.wikipedia.org/wiki/Apple_A17" TargetMode="External"/><Relationship Id="rId201" Type="http://schemas.openxmlformats.org/officeDocument/2006/relationships/hyperlink" Target="https://www.cpu-monkey.com/en/cpu-apple_a17_pro" TargetMode="External"/><Relationship Id="rId222" Type="http://schemas.openxmlformats.org/officeDocument/2006/relationships/hyperlink" Target="https://www.tomshardware.com/pc-components/gpus/nvidias-next-gen-blackwell-ai-gpus-to-cost-up-to-dollar70000-fully-equipped-servers-range-up-to-dollar3000000-report" TargetMode="External"/><Relationship Id="rId243" Type="http://schemas.openxmlformats.org/officeDocument/2006/relationships/hyperlink" Target="https://nvidianews.nvidia.com/news/nvidia-jetson-tx2-enables-ai-at-the-edge" TargetMode="External"/><Relationship Id="rId264" Type="http://schemas.openxmlformats.org/officeDocument/2006/relationships/hyperlink" Target="https://www.nextplatform.com/2024/06/10/lots-of-questions-on-googles-trillium-tpu-v6-a-few-answers/" TargetMode="External"/><Relationship Id="rId17" Type="http://schemas.openxmlformats.org/officeDocument/2006/relationships/hyperlink" Target="https://www.cpu-monkey.com/en/igpu-apple_m1_ultra_64_core" TargetMode="External"/><Relationship Id="rId38" Type="http://schemas.openxmlformats.org/officeDocument/2006/relationships/hyperlink" Target="https://www.youtube.com/watch?v=3ZoP1GCNwYE&amp;t=700s" TargetMode="External"/><Relationship Id="rId59" Type="http://schemas.openxmlformats.org/officeDocument/2006/relationships/hyperlink" Target="https://ark.intel.com/content/www/us/en/ark/products/232138/intel-core-i913980hx-processor-36m-cache-up-to-5-60-ghz.html" TargetMode="External"/><Relationship Id="rId103" Type="http://schemas.openxmlformats.org/officeDocument/2006/relationships/hyperlink" Target="https://en.wikipedia.org/wiki/Transistor_count" TargetMode="External"/><Relationship Id="rId124" Type="http://schemas.openxmlformats.org/officeDocument/2006/relationships/hyperlink" Target="https://www.techpowerup.com/gpu-specs/a100-pcie-40-gb.c3623" TargetMode="External"/><Relationship Id="rId70" Type="http://schemas.openxmlformats.org/officeDocument/2006/relationships/hyperlink" Target="https://www.tomshardware.com/news/nvidia-hopper-h100-80gb-price-revealed" TargetMode="External"/><Relationship Id="rId91" Type="http://schemas.openxmlformats.org/officeDocument/2006/relationships/hyperlink" Target="https://www.youtube.com/watch?v=3tV1KPkuiBI&amp;t=2145s" TargetMode="External"/><Relationship Id="rId145" Type="http://schemas.openxmlformats.org/officeDocument/2006/relationships/hyperlink" Target="https://en.wikipedia.org/wiki/Volta_%28microarchitecture%29" TargetMode="External"/><Relationship Id="rId166" Type="http://schemas.openxmlformats.org/officeDocument/2006/relationships/hyperlink" Target="https://youtu.be/YZzROmj5Ols?si=BajlxtFnBcGDwmLY&amp;t=403" TargetMode="External"/><Relationship Id="rId187" Type="http://schemas.openxmlformats.org/officeDocument/2006/relationships/hyperlink" Target="https://habana.ai/products/gaudi2/" TargetMode="External"/><Relationship Id="rId1" Type="http://schemas.openxmlformats.org/officeDocument/2006/relationships/hyperlink" Target="https://www.cpu-monkey.com/en/cpu-apple_a15_bionic_5_gpu" TargetMode="External"/><Relationship Id="rId212" Type="http://schemas.openxmlformats.org/officeDocument/2006/relationships/hyperlink" Target="https://www.substratus.ai/blog/calculating-gpu-memory-for-llm/" TargetMode="External"/><Relationship Id="rId233" Type="http://schemas.openxmlformats.org/officeDocument/2006/relationships/hyperlink" Target="https://www.seeedstudio.com/blog/2022/04/24/nvidia-orin-bring-your-next-gen-ai-products-with-jetson-agx-orin-and-nx-orin/" TargetMode="External"/><Relationship Id="rId254" Type="http://schemas.openxmlformats.org/officeDocument/2006/relationships/hyperlink" Target="https://www.youtube.com/live/_waPvOwL9Z8?si=M_esqWTXp3HJAw8u&amp;t=5089" TargetMode="External"/><Relationship Id="rId28" Type="http://schemas.openxmlformats.org/officeDocument/2006/relationships/hyperlink" Target="https://www.youtube.com/watch?v=ODSJsviD_SU&amp;t=2566s%20(2:09:55)" TargetMode="External"/><Relationship Id="rId49" Type="http://schemas.openxmlformats.org/officeDocument/2006/relationships/hyperlink" Target="https://www.nvidia.com/content/dam/en-zz/Solutions/gtcf21/jetson-orin/nvidia-jetson-agx-orin-technical-brief.pdf" TargetMode="External"/><Relationship Id="rId114" Type="http://schemas.openxmlformats.org/officeDocument/2006/relationships/hyperlink" Target="https://resources.nvidia.com/en-us-grace-cpu/grace-hopper-superchip" TargetMode="External"/><Relationship Id="rId60" Type="http://schemas.openxmlformats.org/officeDocument/2006/relationships/hyperlink" Target="https://www.techpowerup.com/cpu-specs/core-i9-13980hx.c3016" TargetMode="External"/><Relationship Id="rId81" Type="http://schemas.openxmlformats.org/officeDocument/2006/relationships/hyperlink" Target="https://en.wikipedia.org/wiki/Transistor_count" TargetMode="External"/><Relationship Id="rId135" Type="http://schemas.openxmlformats.org/officeDocument/2006/relationships/hyperlink" Target="https://f.hubspotusercontent30.net/hubfs/8968533/WSE-2%20Datasheet.pdf" TargetMode="External"/><Relationship Id="rId156" Type="http://schemas.openxmlformats.org/officeDocument/2006/relationships/hyperlink" Target="https://www.youtube.com/live/ODSJsviD_SU?si=M-0Z5JAt7y0Q4H5N&amp;t=7786" TargetMode="External"/><Relationship Id="rId177" Type="http://schemas.openxmlformats.org/officeDocument/2006/relationships/hyperlink" Target="https://youtu.be/YZzROmj5Ols?si=0uC5v2nfW_uUFmEd&amp;t=239" TargetMode="External"/><Relationship Id="rId198" Type="http://schemas.openxmlformats.org/officeDocument/2006/relationships/hyperlink" Target="https://en.wikipedia.org/wiki/Apple_A17" TargetMode="External"/><Relationship Id="rId202" Type="http://schemas.openxmlformats.org/officeDocument/2006/relationships/hyperlink" Target="https://www.cpu-monkey.com/en/cpu-apple_a17_pro" TargetMode="External"/><Relationship Id="rId223" Type="http://schemas.openxmlformats.org/officeDocument/2006/relationships/hyperlink" Target="https://www.theregister.com/2024/02/14/german_gh200_workstation/" TargetMode="External"/><Relationship Id="rId244" Type="http://schemas.openxmlformats.org/officeDocument/2006/relationships/hyperlink" Target="https://lenovopress.lenovo.com/lp1814-thinksystem-nvidia-h800-pcie-gen5-gpu" TargetMode="External"/><Relationship Id="rId18" Type="http://schemas.openxmlformats.org/officeDocument/2006/relationships/hyperlink" Target="https://www.cpu-monkey.com/en/igpu-apple_m1_ultra_64_core" TargetMode="External"/><Relationship Id="rId39" Type="http://schemas.openxmlformats.org/officeDocument/2006/relationships/hyperlink" Target="https://www.youtube.com/watch?v=3ZoP1GCNwYE&amp;t=318" TargetMode="External"/><Relationship Id="rId265" Type="http://schemas.openxmlformats.org/officeDocument/2006/relationships/printerSettings" Target="../printerSettings/printerSettings2.bin"/><Relationship Id="rId50" Type="http://schemas.openxmlformats.org/officeDocument/2006/relationships/hyperlink" Target="https://www.nvidia.com/content/dam/en-zz/Solutions/gtcf21/jetson-orin/nvidia-jetson-agx-orin-technical-brief.pdf" TargetMode="External"/><Relationship Id="rId104" Type="http://schemas.openxmlformats.org/officeDocument/2006/relationships/hyperlink" Target="https://www.anandtech.com/show/17509/microns-232-layer-nand-now-shipping" TargetMode="External"/><Relationship Id="rId125" Type="http://schemas.openxmlformats.org/officeDocument/2006/relationships/hyperlink" Target="https://www.techpowerup.com/gpu-specs/a100-pcie-40-gb.c3623" TargetMode="External"/><Relationship Id="rId146" Type="http://schemas.openxmlformats.org/officeDocument/2006/relationships/hyperlink" Target="https://en.wikipedia.org/wiki/Volta_%28microarchitecture%29" TargetMode="External"/><Relationship Id="rId167" Type="http://schemas.openxmlformats.org/officeDocument/2006/relationships/hyperlink" Target="https://youtu.be/YZzROmj5Ols?si=BajlxtFnBcGDwmLY&amp;t=403" TargetMode="External"/><Relationship Id="rId188" Type="http://schemas.openxmlformats.org/officeDocument/2006/relationships/hyperlink" Target="https://www.tomshardware.com/news/intel-habana-gaudi2-outperforms-nvidia-a100" TargetMode="External"/><Relationship Id="rId71" Type="http://schemas.openxmlformats.org/officeDocument/2006/relationships/hyperlink" Target="https://www.businesswire.com/news/home/20220927006137/en/Kioxia-Develops-Industry%E2%80%99s-First-2TB-microSDXC-Memory-Card-Working-Prototypes" TargetMode="External"/><Relationship Id="rId92" Type="http://schemas.openxmlformats.org/officeDocument/2006/relationships/hyperlink" Target="https://www.howtogeek.com/853529/hardware-for-stable-diffusion/" TargetMode="External"/><Relationship Id="rId213" Type="http://schemas.openxmlformats.org/officeDocument/2006/relationships/hyperlink" Target="https://www.engadget.com/samsung-unveils-a-512-gb-ddr-5-ram-module-102447443.html" TargetMode="External"/><Relationship Id="rId234" Type="http://schemas.openxmlformats.org/officeDocument/2006/relationships/hyperlink" Target="https://en.wikipedia.org/wiki/Nvidia_Drive" TargetMode="External"/><Relationship Id="rId2" Type="http://schemas.openxmlformats.org/officeDocument/2006/relationships/hyperlink" Target="https://www.cpu-monkey.com/en/cpu-apple_a15_bionic_5_gpu" TargetMode="External"/><Relationship Id="rId29" Type="http://schemas.openxmlformats.org/officeDocument/2006/relationships/hyperlink" Target="https://f.hubspotusercontent30.net/hubfs/8968533/WSE-2%20Datasheet.pdf" TargetMode="External"/><Relationship Id="rId255" Type="http://schemas.openxmlformats.org/officeDocument/2006/relationships/hyperlink" Target="https://www.youtube.com/live/_waPvOwL9Z8?si=vcgZQtAiis5GzZ_5&amp;t=5247" TargetMode="External"/><Relationship Id="rId40" Type="http://schemas.openxmlformats.org/officeDocument/2006/relationships/hyperlink" Target="https://www.youtube.com/watch?v=3ZoP1GCNwYE&amp;t=700s" TargetMode="External"/><Relationship Id="rId115" Type="http://schemas.openxmlformats.org/officeDocument/2006/relationships/hyperlink" Target="https://ourworldindata.org/grapher/historical-cost-of-computer-memory-and-storage" TargetMode="External"/><Relationship Id="rId136" Type="http://schemas.openxmlformats.org/officeDocument/2006/relationships/hyperlink" Target="https://f.hubspotusercontent30.net/hubfs/8968533/WSE-2%20Datasheet.pdf" TargetMode="External"/><Relationship Id="rId157" Type="http://schemas.openxmlformats.org/officeDocument/2006/relationships/hyperlink" Target="https://cloud.google.com/tpu/docs/v5e-training" TargetMode="External"/><Relationship Id="rId178" Type="http://schemas.openxmlformats.org/officeDocument/2006/relationships/hyperlink" Target="https://youtu.be/YZzROmj5Ols?si=7_n0K6cA-Ezl17rd&amp;t=239" TargetMode="External"/><Relationship Id="rId61" Type="http://schemas.openxmlformats.org/officeDocument/2006/relationships/hyperlink" Target="https://www.techpowerup.com/cpu-specs/core-i9-13980hx.c3016" TargetMode="External"/><Relationship Id="rId82" Type="http://schemas.openxmlformats.org/officeDocument/2006/relationships/hyperlink" Target="https://en.wikipedia.org/wiki/Transistor_count" TargetMode="External"/><Relationship Id="rId199" Type="http://schemas.openxmlformats.org/officeDocument/2006/relationships/hyperlink" Target="https://9to5mac.com/2023/09/15/a17-pro-vs-a16-bionic-comparison/" TargetMode="External"/><Relationship Id="rId203" Type="http://schemas.openxmlformats.org/officeDocument/2006/relationships/hyperlink" Target="https://appleinsider.com/articles/23/04/26/tsmc-struggling-with-early-yields-of-a17-and-m3-processors" TargetMode="External"/><Relationship Id="rId19" Type="http://schemas.openxmlformats.org/officeDocument/2006/relationships/hyperlink" Target="https://www.cpu-monkey.com/en/cpu-apple_m1_ultra_64_gpu" TargetMode="External"/><Relationship Id="rId224" Type="http://schemas.openxmlformats.org/officeDocument/2006/relationships/hyperlink" Target="https://www.amazon.com/KingSpec-Gen4x4-Speed-Internal-PCIe4-0/dp/B0C58GTGPM?th=1" TargetMode="External"/><Relationship Id="rId245" Type="http://schemas.openxmlformats.org/officeDocument/2006/relationships/hyperlink" Target="https://datacrunch.io/blog/nvidia-blackwell-b100-b200-gpu" TargetMode="External"/><Relationship Id="rId30" Type="http://schemas.openxmlformats.org/officeDocument/2006/relationships/hyperlink" Target="https://www.anandtech.com/show/17509/microns-232-layer-nand-now-shipping" TargetMode="External"/><Relationship Id="rId105" Type="http://schemas.openxmlformats.org/officeDocument/2006/relationships/hyperlink" Target="https://en.wikipedia.org/wiki/Human_evolution" TargetMode="External"/><Relationship Id="rId126" Type="http://schemas.openxmlformats.org/officeDocument/2006/relationships/hyperlink" Target="https://resources.nvidia.com/en-us-tensor-core/nvidia-tensor-core-gpu-datasheet" TargetMode="External"/><Relationship Id="rId147" Type="http://schemas.openxmlformats.org/officeDocument/2006/relationships/hyperlink" Target="https://en.wikipedia.org/wiki/Volta_%28microarchitecture%29" TargetMode="External"/><Relationship Id="rId168" Type="http://schemas.openxmlformats.org/officeDocument/2006/relationships/hyperlink" Target="https://youtu.be/YZzROmj5Ols?si=BajlxtFnBcGDwmLY&amp;t=403" TargetMode="External"/><Relationship Id="rId51" Type="http://schemas.openxmlformats.org/officeDocument/2006/relationships/hyperlink" Target="https://www.nvidia.com/content/dam/en-zz/Solutions/gtcf21/jetson-orin/nvidia-jetson-agx-orin-technical-brief.pdf" TargetMode="External"/><Relationship Id="rId72" Type="http://schemas.openxmlformats.org/officeDocument/2006/relationships/hyperlink" Target="https://www.tomshardware.com/news/new-amd-instinct-mi300-details-emerge-debuts-in-2-exaflop-el-capitan-supercomputer" TargetMode="External"/><Relationship Id="rId93" Type="http://schemas.openxmlformats.org/officeDocument/2006/relationships/hyperlink" Target="https://nanoreview.net/en/cpu/apple-m2-ultra" TargetMode="External"/><Relationship Id="rId189" Type="http://schemas.openxmlformats.org/officeDocument/2006/relationships/hyperlink" Target="https://www.tomshardware.com/news/intel-habana-gaudi2-outperforms-nvidia-a100" TargetMode="External"/><Relationship Id="rId3" Type="http://schemas.openxmlformats.org/officeDocument/2006/relationships/hyperlink" Target="https://www.cpu-monkey.com/en/cpu-apple_a15_bionic_5_gpu" TargetMode="External"/><Relationship Id="rId214" Type="http://schemas.openxmlformats.org/officeDocument/2006/relationships/hyperlink" Target="https://www.crucial.com/support/articles-faq-memory/how-much-power-does-memory-use" TargetMode="External"/><Relationship Id="rId235" Type="http://schemas.openxmlformats.org/officeDocument/2006/relationships/hyperlink" Target="https://www.nvidia.com/en-us/geforce/graphics-cards/50-series/rtx-5090/" TargetMode="External"/><Relationship Id="rId256" Type="http://schemas.openxmlformats.org/officeDocument/2006/relationships/hyperlink" Target="https://www.youtube.com/live/_waPvOwL9Z8?si=0mA_EjuWYvWZdKWv&amp;t=5242" TargetMode="External"/><Relationship Id="rId116" Type="http://schemas.openxmlformats.org/officeDocument/2006/relationships/hyperlink" Target="https://en.wikipedia.org/wiki/Human_brain" TargetMode="External"/><Relationship Id="rId137" Type="http://schemas.openxmlformats.org/officeDocument/2006/relationships/hyperlink" Target="https://f.hubspotusercontent30.net/hubfs/8968533/WSE-2%20Datasheet.pdf" TargetMode="External"/><Relationship Id="rId158" Type="http://schemas.openxmlformats.org/officeDocument/2006/relationships/hyperlink" Target="https://cloud.google.com/tpu/docs/v5e-training" TargetMode="External"/><Relationship Id="rId20" Type="http://schemas.openxmlformats.org/officeDocument/2006/relationships/hyperlink" Target="https://www.cpu-monkey.com/en/cpu-apple_m1_ultra_64_gpu" TargetMode="External"/><Relationship Id="rId41" Type="http://schemas.openxmlformats.org/officeDocument/2006/relationships/hyperlink" Target="https://nanoreview.net/en/cpu/apple-m2-ultra" TargetMode="External"/><Relationship Id="rId62" Type="http://schemas.openxmlformats.org/officeDocument/2006/relationships/hyperlink" Target="https://www.notebookcheck.net/NVIDIA-GeForce-RTX-4070-Laptop-GPU-Benchmarks-and-Specs.675690.0.html" TargetMode="External"/><Relationship Id="rId83" Type="http://schemas.openxmlformats.org/officeDocument/2006/relationships/hyperlink" Target="https://www.businesswire.com/news/home/20220927006137/en/Kioxia-Develops-Industry%E2%80%99s-First-2TB-microSDXC-Memory-Card-Working-Prototypes" TargetMode="External"/><Relationship Id="rId179" Type="http://schemas.openxmlformats.org/officeDocument/2006/relationships/hyperlink" Target="https://youtu.be/YZzROmj5Ols?si=7_n0K6cA-Ezl17rd&amp;t=239" TargetMode="External"/><Relationship Id="rId190" Type="http://schemas.openxmlformats.org/officeDocument/2006/relationships/hyperlink" Target="https://www.tomshardware.com/news/intel-habana-gaudi2-outperforms-nvidia-a100" TargetMode="External"/><Relationship Id="rId204" Type="http://schemas.openxmlformats.org/officeDocument/2006/relationships/hyperlink" Target="https://appleinsider.com/articles/23/04/26/tsmc-struggling-with-early-yields-of-a17-and-m3-processors" TargetMode="External"/><Relationship Id="rId225" Type="http://schemas.openxmlformats.org/officeDocument/2006/relationships/hyperlink" Target="https://www.amazon.com/KingSpec-Gen4x4-Speed-Internal-PCIe4-0/dp/B0C58GTGPM?th=1" TargetMode="External"/><Relationship Id="rId246" Type="http://schemas.openxmlformats.org/officeDocument/2006/relationships/hyperlink" Target="https://www.anandtech.com/show/21173/amazons-trainium2-features-96-gb-hbm-quadruples-training-performance" TargetMode="External"/><Relationship Id="rId106" Type="http://schemas.openxmlformats.org/officeDocument/2006/relationships/hyperlink" Target="https://resources.nvidia.com/en-us-grace-cpu/grace-hopper-superchip" TargetMode="External"/><Relationship Id="rId127" Type="http://schemas.openxmlformats.org/officeDocument/2006/relationships/hyperlink" Target="https://resources.nvidia.com/en-us-grace-cpu/grace-hopper-superchip" TargetMode="External"/><Relationship Id="rId10" Type="http://schemas.openxmlformats.org/officeDocument/2006/relationships/hyperlink" Target="https://en.wikipedia.org/wiki/Apple_silicon" TargetMode="External"/><Relationship Id="rId31" Type="http://schemas.openxmlformats.org/officeDocument/2006/relationships/hyperlink" Target="https://electrek.co/2019/11/10/tesla-update-forks-features-for-model-3s-built-pre-post-april-2019/" TargetMode="External"/><Relationship Id="rId52" Type="http://schemas.openxmlformats.org/officeDocument/2006/relationships/hyperlink" Target="https://nvidianews.nvidia.com/news/nvidia-unveils-drive-thor-centralized-car-computer-unifying-cluster-infotainment-automated-driving-and-parking-in-a-single-cost-saving-system" TargetMode="External"/><Relationship Id="rId73" Type="http://schemas.openxmlformats.org/officeDocument/2006/relationships/hyperlink" Target="https://www.tomshardware.com/news/new-amd-instinct-mi300-details-emerge-debuts-in-2-exaflop-el-capitan-supercomputer" TargetMode="External"/><Relationship Id="rId94" Type="http://schemas.openxmlformats.org/officeDocument/2006/relationships/hyperlink" Target="https://www.howtogeek.com/853529/hardware-for-stable-diffusion/" TargetMode="External"/><Relationship Id="rId148" Type="http://schemas.openxmlformats.org/officeDocument/2006/relationships/hyperlink" Target="https://en.wikipedia.org/wiki/Volta_%28microarchitecture%29" TargetMode="External"/><Relationship Id="rId169" Type="http://schemas.openxmlformats.org/officeDocument/2006/relationships/hyperlink" Target="https://youtu.be/YZzROmj5Ols?si=BajlxtFnBcGDwmLY&amp;t=403" TargetMode="External"/><Relationship Id="rId4" Type="http://schemas.openxmlformats.org/officeDocument/2006/relationships/hyperlink" Target="https://www.cpu-monkey.com/en/cpu-apple_a15_bionic_5_gpu" TargetMode="External"/><Relationship Id="rId180" Type="http://schemas.openxmlformats.org/officeDocument/2006/relationships/hyperlink" Target="https://youtu.be/YZzROmj5Ols?si=AG9ysgWslgkKVNfM&amp;t=239" TargetMode="External"/><Relationship Id="rId215" Type="http://schemas.openxmlformats.org/officeDocument/2006/relationships/hyperlink" Target="https://www.tomshardware.com/pc-components/gpus/explosive-hbm-demand-fueling-an-expected-20-increase-in-ddr5-memory-pricing-demand-for-ai-gpus-drives-production-cuts-for-standard-pc-memory" TargetMode="External"/><Relationship Id="rId236" Type="http://schemas.openxmlformats.org/officeDocument/2006/relationships/hyperlink" Target="https://www.youtube.com/live/k82RwXqZHY8?si=OGPQXThJE4QKjjmT&amp;t=4205" TargetMode="External"/><Relationship Id="rId257" Type="http://schemas.openxmlformats.org/officeDocument/2006/relationships/hyperlink" Target="https://www.youtube.com/live/_waPvOwL9Z8?si=VBU0ZNmQv5gsYm3a&amp;t=5345" TargetMode="External"/><Relationship Id="rId42" Type="http://schemas.openxmlformats.org/officeDocument/2006/relationships/hyperlink" Target="https://www.cpu-monkey.com/en/cpu-apple_m2_ultra_60_gpu" TargetMode="External"/><Relationship Id="rId84" Type="http://schemas.openxmlformats.org/officeDocument/2006/relationships/hyperlink" Target="https://resources.nvidia.com/en-us-tensor-core/nvidia-tensor-core-gpu-datasheet" TargetMode="External"/><Relationship Id="rId138" Type="http://schemas.openxmlformats.org/officeDocument/2006/relationships/hyperlink" Target="https://f.hubspotusercontent30.net/hubfs/8968533/WSE-2%20Datasheet.pdf" TargetMode="External"/><Relationship Id="rId191" Type="http://schemas.openxmlformats.org/officeDocument/2006/relationships/hyperlink" Target="https://www.tomshardware.com/news/intel-habana-gaudi2-outperforms-nvidia-a100" TargetMode="External"/><Relationship Id="rId205" Type="http://schemas.openxmlformats.org/officeDocument/2006/relationships/hyperlink" Target="https://www.cpu-monkey.com/en/cpu-apple_a17_pro" TargetMode="External"/><Relationship Id="rId247" Type="http://schemas.openxmlformats.org/officeDocument/2006/relationships/hyperlink" Target="https://www.seeedstudio.com/blog/2022/04/24/nvidia-orin-bring-your-next-gen-ai-products-with-jetson-agx-orin-and-nx-orin/"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tomshardware.com/news/new-amd-instinct-mi300-details-emerge-debuts-in-2-exaflop-el-capitan-supercomputer" TargetMode="External"/><Relationship Id="rId21" Type="http://schemas.openxmlformats.org/officeDocument/2006/relationships/hyperlink" Target="https://www.tomshardware.com/news/startup-builds-supercomputer-with-22000-nvidias-h100-compute-gpus" TargetMode="External"/><Relationship Id="rId42" Type="http://schemas.openxmlformats.org/officeDocument/2006/relationships/hyperlink" Target="https://the-decoder.com/gpt-4-architecture-datasets-costs-and-more-leaked/" TargetMode="External"/><Relationship Id="rId47" Type="http://schemas.openxmlformats.org/officeDocument/2006/relationships/hyperlink" Target="https://electrek.co/2019/11/10/tesla-update-forks-features-for-model-3s-built-pre-post-april-2019/" TargetMode="External"/><Relationship Id="rId63" Type="http://schemas.openxmlformats.org/officeDocument/2006/relationships/hyperlink" Target="https://www.tomshardware.com/news/google-a3-supercomputer-h100-googleio" TargetMode="External"/><Relationship Id="rId68" Type="http://schemas.openxmlformats.org/officeDocument/2006/relationships/hyperlink" Target="https://stability.ai/about" TargetMode="External"/><Relationship Id="rId84" Type="http://schemas.openxmlformats.org/officeDocument/2006/relationships/hyperlink" Target="https://www.youtube.com/live/Y2F8yisiS6E?si=vDsvaOjBP9A7pyv8&amp;t=1743" TargetMode="External"/><Relationship Id="rId89" Type="http://schemas.openxmlformats.org/officeDocument/2006/relationships/hyperlink" Target="https://resources.nvidia.com/en-us-grace-cpu/grace-hopper-superchip" TargetMode="External"/><Relationship Id="rId16" Type="http://schemas.openxmlformats.org/officeDocument/2006/relationships/hyperlink" Target="https://resources.nvidia.com/en-us-grace-cpu/grace-hopper-superchip" TargetMode="External"/><Relationship Id="rId107" Type="http://schemas.openxmlformats.org/officeDocument/2006/relationships/hyperlink" Target="https://www.youtube.com/live/_waPvOwL9Z8?si=AYdwbgEm8gc7ow_2&amp;t=5090" TargetMode="External"/><Relationship Id="rId11" Type="http://schemas.openxmlformats.org/officeDocument/2006/relationships/hyperlink" Target="https://www.marktechpost.com/2022/05/03/totalenergies-utilize-the-cerebras-cs-2-system-to-turn-an-ai-problem-long-accepted-to-be-memory-bound-into-compute-bound/" TargetMode="External"/><Relationship Id="rId32" Type="http://schemas.openxmlformats.org/officeDocument/2006/relationships/hyperlink" Target="https://hypertextbook.com/facts/2001/JacquelineLing.shtml" TargetMode="External"/><Relationship Id="rId37" Type="http://schemas.openxmlformats.org/officeDocument/2006/relationships/hyperlink" Target="https://youtu.be/7KJibx077bE?t=171" TargetMode="External"/><Relationship Id="rId53" Type="http://schemas.openxmlformats.org/officeDocument/2006/relationships/hyperlink" Target="https://en.wikichip.org/wiki/tesla_(car_company)/fsd_chip" TargetMode="External"/><Relationship Id="rId58" Type="http://schemas.openxmlformats.org/officeDocument/2006/relationships/hyperlink" Target="https://youtu.be/GvMe3FVTknU?si=myHlK8lWrqzIb3KC&amp;t=535" TargetMode="External"/><Relationship Id="rId74" Type="http://schemas.openxmlformats.org/officeDocument/2006/relationships/hyperlink" Target="https://stability.ai/about" TargetMode="External"/><Relationship Id="rId79" Type="http://schemas.openxmlformats.org/officeDocument/2006/relationships/hyperlink" Target="https://nvidianews.nvidia.com/news/nvidia-announces-dgx-h100-systems-worlds-most-advanced-enterprise-ai-infrastructure" TargetMode="External"/><Relationship Id="rId102" Type="http://schemas.openxmlformats.org/officeDocument/2006/relationships/hyperlink" Target="https://x.com/elonmusk/status/1797382701541990841" TargetMode="External"/><Relationship Id="rId5" Type="http://schemas.openxmlformats.org/officeDocument/2006/relationships/hyperlink" Target="https://en.wikipedia.org/wiki/Tesla_Dojo" TargetMode="External"/><Relationship Id="rId90" Type="http://schemas.openxmlformats.org/officeDocument/2006/relationships/hyperlink" Target="https://www.youtube.com/live/Y2F8yisiS6E?si=b2DWgOYESdhnDMJ9&amp;t=1697" TargetMode="External"/><Relationship Id="rId95" Type="http://schemas.openxmlformats.org/officeDocument/2006/relationships/hyperlink" Target="https://cleantechnica.com/2019/06/15/teslas-new-hw3-self-driving-computer-its-a-beast-cleantechnica-deep-dive/" TargetMode="External"/><Relationship Id="rId22" Type="http://schemas.openxmlformats.org/officeDocument/2006/relationships/hyperlink" Target="https://www.youtube.com/watch?v=1uIzS1uCOcE" TargetMode="External"/><Relationship Id="rId27" Type="http://schemas.openxmlformats.org/officeDocument/2006/relationships/hyperlink" Target="https://www.tomshardware.com/news/new-amd-instinct-mi300-details-emerge-debuts-in-2-exaflop-el-capitan-supercomputer" TargetMode="External"/><Relationship Id="rId43" Type="http://schemas.openxmlformats.org/officeDocument/2006/relationships/hyperlink" Target="https://the-decoder.com/gpt-4-architecture-datasets-costs-and-more-leaked/" TargetMode="External"/><Relationship Id="rId48" Type="http://schemas.openxmlformats.org/officeDocument/2006/relationships/hyperlink" Target="https://en.wikichip.org/wiki/tesla_(car_company)/fsd_chip" TargetMode="External"/><Relationship Id="rId64" Type="http://schemas.openxmlformats.org/officeDocument/2006/relationships/hyperlink" Target="https://www.tomshardware.com/news/google-a3-supercomputer-h100-googleio" TargetMode="External"/><Relationship Id="rId69" Type="http://schemas.openxmlformats.org/officeDocument/2006/relationships/hyperlink" Target="https://stability.ai/blog/stable-diffusion-announcement" TargetMode="External"/><Relationship Id="rId80" Type="http://schemas.openxmlformats.org/officeDocument/2006/relationships/hyperlink" Target="https://nvidianews.nvidia.com/news/nvidia-announces-dgx-h100-systems-worlds-most-advanced-enterprise-ai-infrastructure" TargetMode="External"/><Relationship Id="rId85" Type="http://schemas.openxmlformats.org/officeDocument/2006/relationships/hyperlink" Target="https://www.youtube.com/live/pKXDVsWZmUU?si=9tNViPhyZS8vUo7f&amp;t=4747" TargetMode="External"/><Relationship Id="rId12" Type="http://schemas.openxmlformats.org/officeDocument/2006/relationships/hyperlink" Target="https://www.cerebras.net/condor-galaxy-1" TargetMode="External"/><Relationship Id="rId17" Type="http://schemas.openxmlformats.org/officeDocument/2006/relationships/hyperlink" Target="https://www.tomshardware.com/news/new-amd-instinct-mi300-details-emerge-debuts-in-2-exaflop-el-capitan-supercomputer" TargetMode="External"/><Relationship Id="rId33" Type="http://schemas.openxmlformats.org/officeDocument/2006/relationships/hyperlink" Target="https://hypertextbook.com/facts/2001/JacquelineLing.shtml" TargetMode="External"/><Relationship Id="rId38" Type="http://schemas.openxmlformats.org/officeDocument/2006/relationships/hyperlink" Target="https://en.wikipedia.org/wiki/GPT-4" TargetMode="External"/><Relationship Id="rId59" Type="http://schemas.openxmlformats.org/officeDocument/2006/relationships/hyperlink" Target="https://twitter.com/Tesla_AI/status/1671589874686730270" TargetMode="External"/><Relationship Id="rId103" Type="http://schemas.openxmlformats.org/officeDocument/2006/relationships/hyperlink" Target="https://www.tomshardware.com/tech-industry/meta-will-have-350000-of-nvidias-fastest-ai-gpus-by-end-of-year-buying-amds-mi300-too" TargetMode="External"/><Relationship Id="rId108" Type="http://schemas.openxmlformats.org/officeDocument/2006/relationships/hyperlink" Target="https://www.youtube.com/live/_waPvOwL9Z8?si=ejCd8gFW3CxbGFET&amp;t=5366" TargetMode="External"/><Relationship Id="rId54" Type="http://schemas.openxmlformats.org/officeDocument/2006/relationships/hyperlink" Target="https://en.wikichip.org/wiki/tesla_(car_company)/fsd_chip" TargetMode="External"/><Relationship Id="rId70" Type="http://schemas.openxmlformats.org/officeDocument/2006/relationships/hyperlink" Target="https://youtu.be/1WOjjgyZPj8?si=_G-vzWiiSfFmYcEz&amp;t=4488" TargetMode="External"/><Relationship Id="rId75" Type="http://schemas.openxmlformats.org/officeDocument/2006/relationships/hyperlink" Target="https://stability.ai/blog/stable-diffusion-announcement" TargetMode="External"/><Relationship Id="rId91" Type="http://schemas.openxmlformats.org/officeDocument/2006/relationships/hyperlink" Target="https://www.youtube.com/live/Y2F8yisiS6E?si=b2DWgOYESdhnDMJ9&amp;t=1698" TargetMode="External"/><Relationship Id="rId96" Type="http://schemas.openxmlformats.org/officeDocument/2006/relationships/hyperlink" Target="https://en.wikichip.org/wiki/tesla_(car_company)/fsd_chip" TargetMode="External"/><Relationship Id="rId1" Type="http://schemas.openxmlformats.org/officeDocument/2006/relationships/hyperlink" Target="https://www.tomshardware.com/news/nvidia-unveils-dgx-gh200-supercomputer-and-mgx-systems-grace-hopper-superchips-in-production" TargetMode="External"/><Relationship Id="rId6" Type="http://schemas.openxmlformats.org/officeDocument/2006/relationships/hyperlink" Target="https://en.wikipedia.org/wiki/Tesla_Dojo" TargetMode="External"/><Relationship Id="rId15" Type="http://schemas.openxmlformats.org/officeDocument/2006/relationships/hyperlink" Target="https://resources.nvidia.com/en-us-grace-cpu/grace-hopper-superchip" TargetMode="External"/><Relationship Id="rId23" Type="http://schemas.openxmlformats.org/officeDocument/2006/relationships/hyperlink" Target="https://en.wikipedia.org/wiki/El_Capitan_(supercomputer)" TargetMode="External"/><Relationship Id="rId28" Type="http://schemas.openxmlformats.org/officeDocument/2006/relationships/hyperlink" Target="https://hypertextbook.com/facts/2001/JacquelineLing.shtml" TargetMode="External"/><Relationship Id="rId36" Type="http://schemas.openxmlformats.org/officeDocument/2006/relationships/hyperlink" Target="https://en.wikipedia.org/wiki/GPT-4" TargetMode="External"/><Relationship Id="rId49" Type="http://schemas.openxmlformats.org/officeDocument/2006/relationships/hyperlink" Target="https://twitter.com/realGeorgeHotz/status/1690894647755988993" TargetMode="External"/><Relationship Id="rId57" Type="http://schemas.openxmlformats.org/officeDocument/2006/relationships/hyperlink" Target="https://youtu.be/GvMe3FVTknU?si=myHlK8lWrqzIb3KC&amp;t=537" TargetMode="External"/><Relationship Id="rId106" Type="http://schemas.openxmlformats.org/officeDocument/2006/relationships/hyperlink" Target="https://www.youtube.com/live/_waPvOwL9Z8?si=Ak3iI7JaqEuJ1v82&amp;t=5246" TargetMode="External"/><Relationship Id="rId10" Type="http://schemas.openxmlformats.org/officeDocument/2006/relationships/hyperlink" Target="https://f.hubspotusercontent30.net/hubfs/8968533/CS-2%20Data%20Sheet.pdf" TargetMode="External"/><Relationship Id="rId31" Type="http://schemas.openxmlformats.org/officeDocument/2006/relationships/hyperlink" Target="http://large.stanford.edu/courses/2014/ph240/labonta1/" TargetMode="External"/><Relationship Id="rId44" Type="http://schemas.openxmlformats.org/officeDocument/2006/relationships/hyperlink" Target="https://youtu.be/7KJibx077bE?t=438" TargetMode="External"/><Relationship Id="rId52" Type="http://schemas.openxmlformats.org/officeDocument/2006/relationships/hyperlink" Target="https://en.wikipedia.org/wiki/Tesla_Dojo" TargetMode="External"/><Relationship Id="rId60" Type="http://schemas.openxmlformats.org/officeDocument/2006/relationships/hyperlink" Target="https://youtu.be/GvMe3FVTknU?si=23S1wZ4AEhTqN4bR&amp;t=150" TargetMode="External"/><Relationship Id="rId65" Type="http://schemas.openxmlformats.org/officeDocument/2006/relationships/hyperlink" Target="https://www.tomshardware.com/news/google-a3-supercomputer-h100-googleio" TargetMode="External"/><Relationship Id="rId73" Type="http://schemas.openxmlformats.org/officeDocument/2006/relationships/hyperlink" Target="https://stability.ai/about" TargetMode="External"/><Relationship Id="rId78" Type="http://schemas.openxmlformats.org/officeDocument/2006/relationships/hyperlink" Target="https://nvidianews.nvidia.com/news/nvidia-announces-dgx-h100-systems-worlds-most-advanced-enterprise-ai-infrastructure" TargetMode="External"/><Relationship Id="rId81" Type="http://schemas.openxmlformats.org/officeDocument/2006/relationships/hyperlink" Target="https://nvidianews.nvidia.com/news/nvidia-announces-dgx-h100-systems-worlds-most-advanced-enterprise-ai-infrastructure" TargetMode="External"/><Relationship Id="rId86" Type="http://schemas.openxmlformats.org/officeDocument/2006/relationships/hyperlink" Target="https://www.youtube.com/live/pKXDVsWZmUU?si=9tNViPhyZS8vUo7f&amp;t=4747" TargetMode="External"/><Relationship Id="rId94" Type="http://schemas.openxmlformats.org/officeDocument/2006/relationships/hyperlink" Target="https://www.substratus.ai/blog/calculating-gpu-memory-for-llm/" TargetMode="External"/><Relationship Id="rId99" Type="http://schemas.openxmlformats.org/officeDocument/2006/relationships/hyperlink" Target="https://x.com/elonmusk/status/1797382701541990841" TargetMode="External"/><Relationship Id="rId101" Type="http://schemas.openxmlformats.org/officeDocument/2006/relationships/hyperlink" Target="https://northernlightswildlife.com/learn-about-wolves/" TargetMode="External"/><Relationship Id="rId4" Type="http://schemas.openxmlformats.org/officeDocument/2006/relationships/hyperlink" Target="https://en.wikipedia.org/wiki/Tesla_Dojo" TargetMode="External"/><Relationship Id="rId9" Type="http://schemas.openxmlformats.org/officeDocument/2006/relationships/hyperlink" Target="https://www.cerebras.net/condor-galaxy-1" TargetMode="External"/><Relationship Id="rId13" Type="http://schemas.openxmlformats.org/officeDocument/2006/relationships/hyperlink" Target="https://www.tomshardware.com/news/nvidia-unveils-dgx-gh200-supercomputer-and-mgx-systems-grace-hopper-superchips-in-production" TargetMode="External"/><Relationship Id="rId18" Type="http://schemas.openxmlformats.org/officeDocument/2006/relationships/hyperlink" Target="https://www.tomshardware.com/news/new-amd-instinct-mi300-details-emerge-debuts-in-2-exaflop-el-capitan-supercomputer" TargetMode="External"/><Relationship Id="rId39" Type="http://schemas.openxmlformats.org/officeDocument/2006/relationships/hyperlink" Target="https://en.wikipedia.org/wiki/GPT-4" TargetMode="External"/><Relationship Id="rId109" Type="http://schemas.openxmlformats.org/officeDocument/2006/relationships/printerSettings" Target="../printerSettings/printerSettings3.bin"/><Relationship Id="rId34" Type="http://schemas.openxmlformats.org/officeDocument/2006/relationships/hyperlink" Target="https://twitter.com/realGeorgeHotz/status/1690894647755988993" TargetMode="External"/><Relationship Id="rId50" Type="http://schemas.openxmlformats.org/officeDocument/2006/relationships/hyperlink" Target="https://twitter.com/realGeorgeHotz/status/1690894647755988993" TargetMode="External"/><Relationship Id="rId55" Type="http://schemas.openxmlformats.org/officeDocument/2006/relationships/hyperlink" Target="https://youtu.be/GvMe3FVTknU?si=myHlK8lWrqzIb3KC&amp;t=535" TargetMode="External"/><Relationship Id="rId76" Type="http://schemas.openxmlformats.org/officeDocument/2006/relationships/hyperlink" Target="https://youtu.be/1WOjjgyZPj8?si=_G-vzWiiSfFmYcEz&amp;t=4488" TargetMode="External"/><Relationship Id="rId97" Type="http://schemas.openxmlformats.org/officeDocument/2006/relationships/hyperlink" Target="https://en.wikichip.org/wiki/tesla_(car_company)/fsd_chip" TargetMode="External"/><Relationship Id="rId104" Type="http://schemas.openxmlformats.org/officeDocument/2006/relationships/hyperlink" Target="https://www.tomshardware.com/tech-industry/meta-will-have-350000-of-nvidias-fastest-ai-gpus-by-end-of-year-buying-amds-mi300-too" TargetMode="External"/><Relationship Id="rId7" Type="http://schemas.openxmlformats.org/officeDocument/2006/relationships/hyperlink" Target="https://f.hubspotusercontent30.net/hubfs/8968533/WSE-2%20Datasheet.pdf" TargetMode="External"/><Relationship Id="rId71" Type="http://schemas.openxmlformats.org/officeDocument/2006/relationships/hyperlink" Target="https://en.wikipedia.org/wiki/PaLM" TargetMode="External"/><Relationship Id="rId92" Type="http://schemas.openxmlformats.org/officeDocument/2006/relationships/hyperlink" Target="https://the-decoder.com/nvidia-announces-new-superchip-and-collab-with-hugging-face/" TargetMode="External"/><Relationship Id="rId2" Type="http://schemas.openxmlformats.org/officeDocument/2006/relationships/hyperlink" Target="https://www.youtube.com/watch?app=desktop&amp;v=oVHkXEzKzxM&amp;feature=youtu.be&amp;noapp=1" TargetMode="External"/><Relationship Id="rId29" Type="http://schemas.openxmlformats.org/officeDocument/2006/relationships/hyperlink" Target="https://www.youtube.com/watch?v=1uIzS1uCOcE" TargetMode="External"/><Relationship Id="rId24" Type="http://schemas.openxmlformats.org/officeDocument/2006/relationships/hyperlink" Target="https://en.wikipedia.org/wiki/El_Capitan_(supercomputer)" TargetMode="External"/><Relationship Id="rId40" Type="http://schemas.openxmlformats.org/officeDocument/2006/relationships/hyperlink" Target="https://en.wikipedia.org/wiki/GPT-4" TargetMode="External"/><Relationship Id="rId45" Type="http://schemas.openxmlformats.org/officeDocument/2006/relationships/hyperlink" Target="https://www.techpowerup.com/310783/inflection-ai-builds-supercomputer-with-22-000-nvidia-h100-gpus" TargetMode="External"/><Relationship Id="rId66" Type="http://schemas.openxmlformats.org/officeDocument/2006/relationships/hyperlink" Target="https://stability.ai/blog/stable-diffusion-announcement" TargetMode="External"/><Relationship Id="rId87" Type="http://schemas.openxmlformats.org/officeDocument/2006/relationships/hyperlink" Target="https://www.youtube.com/live/pKXDVsWZmUU?si=9tNViPhyZS8vUo7f&amp;t=4747" TargetMode="External"/><Relationship Id="rId61" Type="http://schemas.openxmlformats.org/officeDocument/2006/relationships/hyperlink" Target="https://twitter.com/Tesla_AI/status/1671589874686730270" TargetMode="External"/><Relationship Id="rId82" Type="http://schemas.openxmlformats.org/officeDocument/2006/relationships/hyperlink" Target="https://www.youtube.com/live/Y2F8yisiS6E?si=b2DWgOYESdhnDMJ9&amp;t=1705" TargetMode="External"/><Relationship Id="rId19" Type="http://schemas.openxmlformats.org/officeDocument/2006/relationships/hyperlink" Target="https://en.wikipedia.org/wiki/Tesla_Dojo" TargetMode="External"/><Relationship Id="rId14" Type="http://schemas.openxmlformats.org/officeDocument/2006/relationships/hyperlink" Target="https://www.tomshardware.com/news/nvidia-unveils-dgx-gh200-supercomputer-and-mgx-systems-grace-hopper-superchips-in-production" TargetMode="External"/><Relationship Id="rId30" Type="http://schemas.openxmlformats.org/officeDocument/2006/relationships/hyperlink" Target="https://hypertextbook.com/facts/2001/JacquelineLing.shtml" TargetMode="External"/><Relationship Id="rId35" Type="http://schemas.openxmlformats.org/officeDocument/2006/relationships/hyperlink" Target="https://twitter.com/realGeorgeHotz/status/1690894647755988993" TargetMode="External"/><Relationship Id="rId56" Type="http://schemas.openxmlformats.org/officeDocument/2006/relationships/hyperlink" Target="https://youtu.be/GvMe3FVTknU?si=myHlK8lWrqzIb3KC&amp;t=536" TargetMode="External"/><Relationship Id="rId77" Type="http://schemas.openxmlformats.org/officeDocument/2006/relationships/hyperlink" Target="https://nvidianews.nvidia.com/news/nvidia-announces-dgx-h100-systems-worlds-most-advanced-enterprise-ai-infrastructure" TargetMode="External"/><Relationship Id="rId100" Type="http://schemas.openxmlformats.org/officeDocument/2006/relationships/hyperlink" Target="https://northernlightswildlife.com/learn-about-wolves/" TargetMode="External"/><Relationship Id="rId105" Type="http://schemas.openxmlformats.org/officeDocument/2006/relationships/hyperlink" Target="https://youtu.be/_1f-o0nqpEI?si=3BV15QOqJzs4EMVI&amp;t=14068" TargetMode="External"/><Relationship Id="rId8" Type="http://schemas.openxmlformats.org/officeDocument/2006/relationships/hyperlink" Target="https://www.cerebras.net/condor-galaxy-1" TargetMode="External"/><Relationship Id="rId51" Type="http://schemas.openxmlformats.org/officeDocument/2006/relationships/hyperlink" Target="https://youtu.be/GvMe3FVTknU?si=myHlK8lWrqzIb3KC&amp;t=536" TargetMode="External"/><Relationship Id="rId72" Type="http://schemas.openxmlformats.org/officeDocument/2006/relationships/hyperlink" Target="https://stability.ai/blog/stable-diffusion-announcement" TargetMode="External"/><Relationship Id="rId93" Type="http://schemas.openxmlformats.org/officeDocument/2006/relationships/hyperlink" Target="https://youtu.be/f4Dly8I8lMY?si=g-SYMUXUxv4HcAJb&amp;t=412" TargetMode="External"/><Relationship Id="rId98" Type="http://schemas.openxmlformats.org/officeDocument/2006/relationships/hyperlink" Target="https://en.wikichip.org/wiki/tesla_(car_company)/fsd_chip" TargetMode="External"/><Relationship Id="rId3" Type="http://schemas.openxmlformats.org/officeDocument/2006/relationships/hyperlink" Target="https://en.wikipedia.org/wiki/Metric_prefix" TargetMode="External"/><Relationship Id="rId25" Type="http://schemas.openxmlformats.org/officeDocument/2006/relationships/hyperlink" Target="https://en.wikipedia.org/wiki/El_Capitan_(supercomputer)" TargetMode="External"/><Relationship Id="rId46" Type="http://schemas.openxmlformats.org/officeDocument/2006/relationships/hyperlink" Target="https://electrek.co/2019/11/10/tesla-update-forks-features-for-model-3s-built-pre-post-april-2019/" TargetMode="External"/><Relationship Id="rId67" Type="http://schemas.openxmlformats.org/officeDocument/2006/relationships/hyperlink" Target="https://stability.ai/about" TargetMode="External"/><Relationship Id="rId20" Type="http://schemas.openxmlformats.org/officeDocument/2006/relationships/hyperlink" Target="https://www.tomshardware.com/news/startup-builds-supercomputer-with-22000-nvidias-h100-compute-gpus" TargetMode="External"/><Relationship Id="rId41" Type="http://schemas.openxmlformats.org/officeDocument/2006/relationships/hyperlink" Target="https://the-decoder.com/gpt-4-architecture-datasets-costs-and-more-leaked/" TargetMode="External"/><Relationship Id="rId62" Type="http://schemas.openxmlformats.org/officeDocument/2006/relationships/hyperlink" Target="https://twitter.com/Tesla_AI/status/1671589874686730270" TargetMode="External"/><Relationship Id="rId83" Type="http://schemas.openxmlformats.org/officeDocument/2006/relationships/hyperlink" Target="https://www.youtube.com/live/Y2F8yisiS6E?si=vDsvaOjBP9A7pyv8&amp;t=1746" TargetMode="External"/><Relationship Id="rId88" Type="http://schemas.openxmlformats.org/officeDocument/2006/relationships/hyperlink" Target="https://resources.nvidia.com/en-us-grace-cpu/grace-hopper-superchi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ourworldindata.org/grapher/share-electricity-solar?country=~JPN" TargetMode="External"/><Relationship Id="rId3" Type="http://schemas.openxmlformats.org/officeDocument/2006/relationships/hyperlink" Target="https://en.m.wikipedia.org/wiki/List_of_fastest_computers?darkschemeovr=1&amp;safesearch=moderate&amp;setlang=da-DK&amp;ssp=1" TargetMode="External"/><Relationship Id="rId7" Type="http://schemas.openxmlformats.org/officeDocument/2006/relationships/hyperlink" Target="https://en.wikipedia.org/wiki/Cost_of_electricity_by_source" TargetMode="External"/><Relationship Id="rId2" Type="http://schemas.openxmlformats.org/officeDocument/2006/relationships/hyperlink" Target="https://en.wikipedia.org/wiki/Metric_prefix" TargetMode="External"/><Relationship Id="rId1" Type="http://schemas.openxmlformats.org/officeDocument/2006/relationships/hyperlink" Target="https://ourworldindata.org/grapher/supercomputer-power-flops" TargetMode="External"/><Relationship Id="rId6" Type="http://schemas.openxmlformats.org/officeDocument/2006/relationships/hyperlink" Target="https://www.nrel.gov/solar/market-research-analysis/solar-installed-system-cost.html?utm_source=chatgpt.com" TargetMode="External"/><Relationship Id="rId5" Type="http://schemas.openxmlformats.org/officeDocument/2006/relationships/hyperlink" Target="https://en.m.wikipedia.org/wiki/List_of_fastest_computers?darkschemeovr=1&amp;safesearch=moderate&amp;setlang=da-DK&amp;ssp=1" TargetMode="External"/><Relationship Id="rId10" Type="http://schemas.openxmlformats.org/officeDocument/2006/relationships/drawing" Target="../drawings/drawing1.xml"/><Relationship Id="rId4" Type="http://schemas.openxmlformats.org/officeDocument/2006/relationships/hyperlink" Target="https://www.slideshare.net/antonioeram/raymond-kurzweil-presentation"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worldometers.info/world-population/" TargetMode="External"/><Relationship Id="rId13" Type="http://schemas.openxmlformats.org/officeDocument/2006/relationships/hyperlink" Target="https://electrek.co/2025/01/31/elon-musk-says-tesla-aims-to-build-10000-optimus-robots-this-year/" TargetMode="External"/><Relationship Id="rId3" Type="http://schemas.openxmlformats.org/officeDocument/2006/relationships/hyperlink" Target="https://www.statista.com/statistics/988034/nvidia-revenue-by-segment/" TargetMode="External"/><Relationship Id="rId7" Type="http://schemas.openxmlformats.org/officeDocument/2006/relationships/hyperlink" Target="https://www.cnbc.com/2023/08/11/nvidia-ai-driven-rally-pushed-earnings-multiple-higher-than-tesla.html" TargetMode="External"/><Relationship Id="rId12" Type="http://schemas.openxmlformats.org/officeDocument/2006/relationships/hyperlink" Target="https://electrek.co/2025/01/31/elon-musk-says-tesla-aims-to-build-10000-optimus-robots-this-year/" TargetMode="External"/><Relationship Id="rId2" Type="http://schemas.openxmlformats.org/officeDocument/2006/relationships/hyperlink" Target="https://youtu.be/0EIwhvqCX1c?t=20" TargetMode="External"/><Relationship Id="rId16" Type="http://schemas.openxmlformats.org/officeDocument/2006/relationships/drawing" Target="../drawings/drawing2.xml"/><Relationship Id="rId1" Type="http://schemas.openxmlformats.org/officeDocument/2006/relationships/hyperlink" Target="https://en.wikipedia.org/wiki/Metric_prefix" TargetMode="External"/><Relationship Id="rId6" Type="http://schemas.openxmlformats.org/officeDocument/2006/relationships/hyperlink" Target="https://www.tomshardware.com/news/nvidia-to-reportedly-triple-output-of-compute-gpus-in-2024-up-to-2-million-h100s" TargetMode="External"/><Relationship Id="rId11" Type="http://schemas.openxmlformats.org/officeDocument/2006/relationships/hyperlink" Target="https://tradingeconomics.com/united-states/gdp" TargetMode="External"/><Relationship Id="rId5" Type="http://schemas.openxmlformats.org/officeDocument/2006/relationships/hyperlink" Target="https://www.worldometers.info/world-population/" TargetMode="External"/><Relationship Id="rId15" Type="http://schemas.openxmlformats.org/officeDocument/2006/relationships/printerSettings" Target="../printerSettings/printerSettings5.bin"/><Relationship Id="rId10" Type="http://schemas.openxmlformats.org/officeDocument/2006/relationships/hyperlink" Target="https://www.digitimes.com/news/a20250116VL206/tsmc-revenue-2025-capex-2024.html" TargetMode="External"/><Relationship Id="rId4" Type="http://schemas.openxmlformats.org/officeDocument/2006/relationships/hyperlink" Target="https://www.cnbc.com/2023/08/11/nvidia-ai-driven-rally-pushed-earnings-multiple-higher-than-tesla.html" TargetMode="External"/><Relationship Id="rId9" Type="http://schemas.openxmlformats.org/officeDocument/2006/relationships/hyperlink" Target="https://www.tomshardware.com/news/nvidia-to-reportedly-triple-output-of-compute-gpus-in-2024-up-to-2-million-h100s" TargetMode="External"/><Relationship Id="rId14" Type="http://schemas.openxmlformats.org/officeDocument/2006/relationships/hyperlink" Target="https://youtu.be/mofEOSUkMpA?si=NZxUS5UshDVJqqo4&amp;t=766"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ourworldindata.org/grapher/levelized-cost-of-energy" TargetMode="External"/><Relationship Id="rId3" Type="http://schemas.openxmlformats.org/officeDocument/2006/relationships/hyperlink" Target="https://data.worldbank.org/indicator/NY.GDP.MKTP.CD" TargetMode="External"/><Relationship Id="rId7" Type="http://schemas.openxmlformats.org/officeDocument/2006/relationships/hyperlink" Target="https://www.cnbc.com/2023/08/11/nvidia-ai-driven-rally-pushed-earnings-multiple-higher-than-tesla.html" TargetMode="External"/><Relationship Id="rId2" Type="http://schemas.openxmlformats.org/officeDocument/2006/relationships/hyperlink" Target="https://yearbook.enerdata.net/electricity/world-electricity-production-statistics.html" TargetMode="External"/><Relationship Id="rId1" Type="http://schemas.openxmlformats.org/officeDocument/2006/relationships/hyperlink" Target="https://en.wikipedia.org/wiki/Metric_prefix" TargetMode="External"/><Relationship Id="rId6" Type="http://schemas.openxmlformats.org/officeDocument/2006/relationships/hyperlink" Target="https://www.tomshardware.com/news/nvidia-to-reportedly-triple-output-of-compute-gpus-in-2024-up-to-2-million-h100s" TargetMode="External"/><Relationship Id="rId5" Type="http://schemas.openxmlformats.org/officeDocument/2006/relationships/hyperlink" Target="https://www.cnbc.com/2023/08/11/nvidia-ai-driven-rally-pushed-earnings-multiple-higher-than-tesla.html" TargetMode="External"/><Relationship Id="rId10" Type="http://schemas.openxmlformats.org/officeDocument/2006/relationships/printerSettings" Target="../printerSettings/printerSettings6.bin"/><Relationship Id="rId4" Type="http://schemas.openxmlformats.org/officeDocument/2006/relationships/hyperlink" Target="https://youtu.be/0EIwhvqCX1c?t=20" TargetMode="External"/><Relationship Id="rId9" Type="http://schemas.openxmlformats.org/officeDocument/2006/relationships/hyperlink" Target="https://ourworldindata.org/grapher/levelized-cost-of-energy"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onvertlive.com/u/convert/bits/to/bytes" TargetMode="External"/><Relationship Id="rId13" Type="http://schemas.openxmlformats.org/officeDocument/2006/relationships/hyperlink" Target="https://www.tomshardware.com/news/nvidia-hopper-h100-80gb-price-revealed" TargetMode="External"/><Relationship Id="rId18" Type="http://schemas.openxmlformats.org/officeDocument/2006/relationships/hyperlink" Target="https://en.wikipedia.org/wiki/Transistor_count" TargetMode="External"/><Relationship Id="rId3" Type="http://schemas.openxmlformats.org/officeDocument/2006/relationships/hyperlink" Target="https://ourworldindata.org/grapher/transistors-per-microprocessor" TargetMode="External"/><Relationship Id="rId21" Type="http://schemas.openxmlformats.org/officeDocument/2006/relationships/hyperlink" Target="https://en.wikipedia.org/wiki/Transistor_count" TargetMode="External"/><Relationship Id="rId7" Type="http://schemas.openxmlformats.org/officeDocument/2006/relationships/hyperlink" Target="https://semiengineering.com/scaling-up-and-down/" TargetMode="External"/><Relationship Id="rId12" Type="http://schemas.openxmlformats.org/officeDocument/2006/relationships/hyperlink" Target="https://www.tomshardware.com/news/nvidia-unveils-dgx-gh200-supercomputer-and-mgx-systems-grace-hopper-superchips-in-production" TargetMode="External"/><Relationship Id="rId17" Type="http://schemas.openxmlformats.org/officeDocument/2006/relationships/hyperlink" Target="https://en.wikipedia.org/wiki/Transistor_count" TargetMode="External"/><Relationship Id="rId25" Type="http://schemas.openxmlformats.org/officeDocument/2006/relationships/printerSettings" Target="../printerSettings/printerSettings7.bin"/><Relationship Id="rId2" Type="http://schemas.openxmlformats.org/officeDocument/2006/relationships/hyperlink" Target="https://en.wikipedia.org/wiki/Moore%27s_law" TargetMode="External"/><Relationship Id="rId16" Type="http://schemas.openxmlformats.org/officeDocument/2006/relationships/hyperlink" Target="https://en.wikipedia.org/wiki/Transistor_count" TargetMode="External"/><Relationship Id="rId20" Type="http://schemas.openxmlformats.org/officeDocument/2006/relationships/hyperlink" Target="https://en.wikipedia.org/wiki/Transistor_count" TargetMode="External"/><Relationship Id="rId1" Type="http://schemas.openxmlformats.org/officeDocument/2006/relationships/hyperlink" Target="https://en.wikipedia.org/wiki/Moore%27s_law" TargetMode="External"/><Relationship Id="rId6" Type="http://schemas.openxmlformats.org/officeDocument/2006/relationships/hyperlink" Target="https://en.wikipedia.org/wiki/Transistor_count" TargetMode="External"/><Relationship Id="rId11" Type="http://schemas.openxmlformats.org/officeDocument/2006/relationships/hyperlink" Target="https://en.wikipedia.org/wiki/Transistor_count" TargetMode="External"/><Relationship Id="rId24" Type="http://schemas.openxmlformats.org/officeDocument/2006/relationships/hyperlink" Target="https://en.wikipedia.org/wiki/Transistor_count" TargetMode="External"/><Relationship Id="rId5" Type="http://schemas.openxmlformats.org/officeDocument/2006/relationships/hyperlink" Target="https://en.wikipedia.org/wiki/Transistor_count" TargetMode="External"/><Relationship Id="rId15" Type="http://schemas.openxmlformats.org/officeDocument/2006/relationships/hyperlink" Target="https://en.wikipedia.org/wiki/Transistor_count" TargetMode="External"/><Relationship Id="rId23" Type="http://schemas.openxmlformats.org/officeDocument/2006/relationships/hyperlink" Target="https://en.wikipedia.org/wiki/Transistor_count" TargetMode="External"/><Relationship Id="rId10" Type="http://schemas.openxmlformats.org/officeDocument/2006/relationships/hyperlink" Target="https://ourworldindata.org/grapher/historical-cost-of-computer-memory-and-storage" TargetMode="External"/><Relationship Id="rId19" Type="http://schemas.openxmlformats.org/officeDocument/2006/relationships/hyperlink" Target="https://en.wikipedia.org/wiki/Transistor_count" TargetMode="External"/><Relationship Id="rId4" Type="http://schemas.openxmlformats.org/officeDocument/2006/relationships/hyperlink" Target="https://en.wikipedia.org/wiki/Transistor_count" TargetMode="External"/><Relationship Id="rId9" Type="http://schemas.openxmlformats.org/officeDocument/2006/relationships/hyperlink" Target="https://ourworldindata.org/grapher/historical-cost-of-computer-memory-and-storage" TargetMode="External"/><Relationship Id="rId14" Type="http://schemas.openxmlformats.org/officeDocument/2006/relationships/hyperlink" Target="https://en.wikipedia.org/wiki/Transistor_count" TargetMode="External"/><Relationship Id="rId22" Type="http://schemas.openxmlformats.org/officeDocument/2006/relationships/hyperlink" Target="https://en.wikipedia.org/wiki/Transistor_count"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en.wikipedia.org/wiki/Transistor_count" TargetMode="External"/><Relationship Id="rId3" Type="http://schemas.openxmlformats.org/officeDocument/2006/relationships/hyperlink" Target="https://semiengineering.com/scaling-up-and-down/" TargetMode="External"/><Relationship Id="rId7" Type="http://schemas.openxmlformats.org/officeDocument/2006/relationships/hyperlink" Target="https://en.wikipedia.org/wiki/Transistor_count" TargetMode="External"/><Relationship Id="rId2" Type="http://schemas.openxmlformats.org/officeDocument/2006/relationships/hyperlink" Target="https://en.wikipedia.org/wiki/Transistor_count" TargetMode="External"/><Relationship Id="rId1" Type="http://schemas.openxmlformats.org/officeDocument/2006/relationships/hyperlink" Target="https://en.wikipedia.org/wiki/Transistor_count" TargetMode="External"/><Relationship Id="rId6" Type="http://schemas.openxmlformats.org/officeDocument/2006/relationships/hyperlink" Target="https://en.wikipedia.org/wiki/Transistor_count" TargetMode="External"/><Relationship Id="rId11" Type="http://schemas.openxmlformats.org/officeDocument/2006/relationships/printerSettings" Target="../printerSettings/printerSettings8.bin"/><Relationship Id="rId5" Type="http://schemas.openxmlformats.org/officeDocument/2006/relationships/hyperlink" Target="https://en.wikipedia.org/wiki/Transistor_count" TargetMode="External"/><Relationship Id="rId10" Type="http://schemas.openxmlformats.org/officeDocument/2006/relationships/hyperlink" Target="https://en.wikipedia.org/wiki/Transistor_count" TargetMode="External"/><Relationship Id="rId4" Type="http://schemas.openxmlformats.org/officeDocument/2006/relationships/hyperlink" Target="https://en.wikipedia.org/wiki/Transistor_count" TargetMode="External"/><Relationship Id="rId9" Type="http://schemas.openxmlformats.org/officeDocument/2006/relationships/hyperlink" Target="https://en.wikipedia.org/wiki/Transistor_coun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arcprize.org/arc" TargetMode="External"/><Relationship Id="rId2" Type="http://schemas.openxmlformats.org/officeDocument/2006/relationships/hyperlink" Target="https://x.com/fchollet/status/1870169764762710376" TargetMode="External"/><Relationship Id="rId1" Type="http://schemas.openxmlformats.org/officeDocument/2006/relationships/hyperlink" Target="https://youtu.be/KrRD7r7y7NY?si=7wpi0fGu5UQYDxgi&amp;t=545" TargetMode="External"/><Relationship Id="rId6" Type="http://schemas.openxmlformats.org/officeDocument/2006/relationships/hyperlink" Target="https://arcprize.org/blog/r1-zero-r1-results-analysis" TargetMode="External"/><Relationship Id="rId5" Type="http://schemas.openxmlformats.org/officeDocument/2006/relationships/hyperlink" Target="https://semianalysis.com/2024/09/04/multi-datacenter-training-openais/" TargetMode="External"/><Relationship Id="rId4" Type="http://schemas.openxmlformats.org/officeDocument/2006/relationships/hyperlink" Target="https://www.thealgorithmicbridge.com/p/openai-o3-model-is-a-message-fr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48D0-7BE4-46AF-A356-D0DAD0D90232}">
  <dimension ref="A1:AL329"/>
  <sheetViews>
    <sheetView tabSelected="1" workbookViewId="0">
      <pane xSplit="4" ySplit="26" topLeftCell="E72" activePane="bottomRight" state="frozen"/>
      <selection pane="topRight" activeCell="E1" sqref="E1"/>
      <selection pane="bottomLeft" activeCell="A29" sqref="A29"/>
      <selection pane="bottomRight" activeCell="C106" sqref="C106"/>
    </sheetView>
  </sheetViews>
  <sheetFormatPr defaultRowHeight="14.5" x14ac:dyDescent="0.35"/>
  <cols>
    <col min="1" max="1" width="1.36328125" customWidth="1"/>
    <col min="2" max="2" width="3.90625" customWidth="1"/>
    <col min="3" max="3" width="41.7265625" customWidth="1"/>
    <col min="4" max="4" width="11.54296875" customWidth="1"/>
    <col min="5" max="5" width="13.1796875" customWidth="1"/>
    <col min="6" max="6" width="13.6328125" customWidth="1"/>
    <col min="7" max="7" width="11.90625" customWidth="1"/>
    <col min="8" max="8" width="14.54296875" customWidth="1"/>
    <col min="9" max="9" width="11.453125" customWidth="1"/>
    <col min="10" max="10" width="11.7265625" customWidth="1"/>
    <col min="11" max="11" width="12.26953125" customWidth="1"/>
    <col min="12" max="12" width="11.453125" customWidth="1"/>
    <col min="13" max="13" width="9" customWidth="1"/>
    <col min="14" max="14" width="11.453125" customWidth="1"/>
    <col min="15" max="15" width="11.7265625" customWidth="1"/>
    <col min="16" max="16" width="7.6328125" customWidth="1"/>
    <col min="17" max="17" width="10.54296875" customWidth="1"/>
    <col min="18" max="19" width="10.90625" customWidth="1"/>
    <col min="20" max="20" width="16.08984375" customWidth="1"/>
    <col min="21" max="21" width="13.6328125" customWidth="1"/>
    <col min="22" max="22" width="14.36328125" customWidth="1"/>
    <col min="23" max="23" width="11.1796875" customWidth="1"/>
    <col min="24" max="24" width="15.54296875" customWidth="1"/>
    <col min="25" max="25" width="9.36328125" customWidth="1"/>
    <col min="26" max="26" width="13.08984375" customWidth="1"/>
    <col min="27" max="27" width="7.36328125" customWidth="1"/>
    <col min="28" max="28" width="6.7265625" customWidth="1"/>
    <col min="29" max="29" width="4.26953125" customWidth="1"/>
    <col min="30" max="30" width="17.90625" customWidth="1"/>
    <col min="31" max="31" width="13.54296875" customWidth="1"/>
    <col min="32" max="32" width="34.08984375" customWidth="1"/>
    <col min="33" max="33" width="8.26953125" customWidth="1"/>
    <col min="34" max="34" width="7.1796875" customWidth="1"/>
    <col min="35" max="35" width="6.6328125" customWidth="1"/>
    <col min="36" max="36" width="32.453125" customWidth="1"/>
    <col min="37" max="37" width="11.453125" customWidth="1"/>
    <col min="38" max="38" width="26.81640625" customWidth="1"/>
    <col min="39" max="39" width="12" customWidth="1"/>
    <col min="40" max="40" width="10" customWidth="1"/>
    <col min="41" max="41" width="10.90625" customWidth="1"/>
    <col min="42" max="42" width="11.36328125" customWidth="1"/>
    <col min="43" max="43" width="8.6328125" customWidth="1"/>
    <col min="44" max="44" width="11.90625" customWidth="1"/>
    <col min="45" max="45" width="10.90625" customWidth="1"/>
    <col min="47" max="47" width="10.453125" customWidth="1"/>
    <col min="48" max="48" width="13.1796875" customWidth="1"/>
    <col min="49" max="49" width="11.90625" customWidth="1"/>
    <col min="50" max="50" width="7.90625" customWidth="1"/>
    <col min="51" max="51" width="5.453125" customWidth="1"/>
  </cols>
  <sheetData>
    <row r="1" spans="1:38" ht="28.5" x14ac:dyDescent="0.65">
      <c r="A1" s="9" t="s">
        <v>2031</v>
      </c>
      <c r="W1" t="s">
        <v>1862</v>
      </c>
      <c r="AC1">
        <v>2</v>
      </c>
      <c r="AD1" t="s">
        <v>1864</v>
      </c>
      <c r="AE1" s="14" t="s">
        <v>1863</v>
      </c>
      <c r="AF1" s="2">
        <v>1000</v>
      </c>
      <c r="AG1" t="s">
        <v>393</v>
      </c>
      <c r="AH1" t="s">
        <v>392</v>
      </c>
      <c r="AI1" s="14" t="s">
        <v>126</v>
      </c>
    </row>
    <row r="2" spans="1:38" ht="15.5" x14ac:dyDescent="0.35">
      <c r="A2" s="10" t="s">
        <v>11</v>
      </c>
      <c r="W2" t="s">
        <v>1617</v>
      </c>
      <c r="AC2">
        <v>1.29</v>
      </c>
      <c r="AD2" t="s">
        <v>1872</v>
      </c>
      <c r="AE2" s="14" t="s">
        <v>1873</v>
      </c>
      <c r="AF2" s="2">
        <v>1000000</v>
      </c>
      <c r="AG2" t="s">
        <v>318</v>
      </c>
      <c r="AH2" t="s">
        <v>371</v>
      </c>
      <c r="AJ2" t="s">
        <v>45</v>
      </c>
    </row>
    <row r="3" spans="1:38" ht="15.5" x14ac:dyDescent="0.35">
      <c r="A3" s="414" t="s">
        <v>1093</v>
      </c>
      <c r="B3" s="415"/>
      <c r="C3" s="415"/>
      <c r="D3" s="415"/>
      <c r="O3" s="6">
        <f>AI_Supercomputers!K4</f>
        <v>2.0129870129870131</v>
      </c>
      <c r="P3" t="s">
        <v>462</v>
      </c>
      <c r="Q3">
        <v>2</v>
      </c>
      <c r="R3" t="s">
        <v>3114</v>
      </c>
      <c r="S3" t="s">
        <v>45</v>
      </c>
      <c r="Z3" s="14" t="s">
        <v>1352</v>
      </c>
      <c r="AA3" t="s">
        <v>45</v>
      </c>
      <c r="AC3">
        <v>6</v>
      </c>
      <c r="AD3" t="s">
        <v>1882</v>
      </c>
      <c r="AE3" t="s">
        <v>1883</v>
      </c>
      <c r="AF3" s="2">
        <v>1000000000</v>
      </c>
      <c r="AG3" t="s">
        <v>231</v>
      </c>
      <c r="AH3" t="s">
        <v>230</v>
      </c>
    </row>
    <row r="4" spans="1:38" x14ac:dyDescent="0.35">
      <c r="J4" t="s">
        <v>2111</v>
      </c>
      <c r="K4" t="s">
        <v>45</v>
      </c>
      <c r="O4">
        <v>1.5</v>
      </c>
      <c r="P4" t="s">
        <v>461</v>
      </c>
      <c r="Q4" t="s">
        <v>45</v>
      </c>
      <c r="AC4">
        <v>5</v>
      </c>
      <c r="AD4" t="s">
        <v>1885</v>
      </c>
      <c r="AE4" t="s">
        <v>1884</v>
      </c>
      <c r="AF4" s="2">
        <v>1000000000000</v>
      </c>
      <c r="AG4" t="s">
        <v>127</v>
      </c>
      <c r="AH4" t="s">
        <v>124</v>
      </c>
    </row>
    <row r="5" spans="1:38" ht="24" thickBot="1" x14ac:dyDescent="0.6">
      <c r="C5" s="30" t="s">
        <v>1611</v>
      </c>
      <c r="D5" s="31"/>
      <c r="E5" s="31"/>
      <c r="F5" s="31"/>
      <c r="G5" s="31"/>
      <c r="H5" s="31"/>
      <c r="I5" s="31"/>
      <c r="J5" s="532" t="s">
        <v>2048</v>
      </c>
      <c r="K5" s="31" t="s">
        <v>45</v>
      </c>
      <c r="L5" s="709" t="s">
        <v>2157</v>
      </c>
      <c r="M5" s="31" t="s">
        <v>45</v>
      </c>
      <c r="N5" s="533" t="s">
        <v>2273</v>
      </c>
      <c r="O5" s="31" t="s">
        <v>45</v>
      </c>
      <c r="P5" s="532" t="s">
        <v>2155</v>
      </c>
      <c r="Q5" s="532"/>
      <c r="R5" s="31" t="s">
        <v>45</v>
      </c>
      <c r="S5" s="31"/>
      <c r="T5" s="532" t="s">
        <v>2156</v>
      </c>
      <c r="U5" s="31" t="s">
        <v>45</v>
      </c>
      <c r="V5" s="533" t="s">
        <v>1618</v>
      </c>
      <c r="W5" s="31" t="s">
        <v>45</v>
      </c>
      <c r="X5" s="532" t="s">
        <v>2134</v>
      </c>
      <c r="Y5" s="31" t="s">
        <v>45</v>
      </c>
      <c r="Z5" s="533" t="s">
        <v>1619</v>
      </c>
      <c r="AA5" s="31" t="s">
        <v>45</v>
      </c>
      <c r="AB5" s="31"/>
      <c r="AF5" s="2">
        <v>1000000000000000</v>
      </c>
      <c r="AG5" t="s">
        <v>146</v>
      </c>
      <c r="AH5" t="s">
        <v>145</v>
      </c>
    </row>
    <row r="6" spans="1:38" ht="15" thickTop="1" x14ac:dyDescent="0.35">
      <c r="C6" s="18" t="s">
        <v>405</v>
      </c>
      <c r="D6" s="19" t="s">
        <v>12</v>
      </c>
      <c r="E6" s="19" t="s">
        <v>1564</v>
      </c>
      <c r="F6" s="19" t="s">
        <v>1046</v>
      </c>
      <c r="G6" s="19" t="s">
        <v>1058</v>
      </c>
      <c r="H6" s="19" t="s">
        <v>1925</v>
      </c>
      <c r="I6" s="19" t="s">
        <v>2461</v>
      </c>
      <c r="J6" s="19" t="s">
        <v>1626</v>
      </c>
      <c r="K6" s="19" t="s">
        <v>41</v>
      </c>
      <c r="L6" s="19" t="s">
        <v>483</v>
      </c>
      <c r="M6" s="19" t="s">
        <v>1045</v>
      </c>
      <c r="N6" s="19" t="s">
        <v>2095</v>
      </c>
      <c r="O6" s="19" t="s">
        <v>1054</v>
      </c>
      <c r="P6" s="19" t="s">
        <v>16</v>
      </c>
      <c r="Q6" s="19" t="s">
        <v>196</v>
      </c>
      <c r="R6" s="19" t="s">
        <v>2147</v>
      </c>
      <c r="S6" s="19" t="s">
        <v>2150</v>
      </c>
      <c r="T6" s="19" t="s">
        <v>175</v>
      </c>
      <c r="U6" s="19" t="s">
        <v>350</v>
      </c>
      <c r="V6" s="19" t="s">
        <v>201</v>
      </c>
      <c r="W6" s="19" t="s">
        <v>611</v>
      </c>
      <c r="X6" s="19" t="s">
        <v>2146</v>
      </c>
      <c r="Y6" s="19" t="s">
        <v>194</v>
      </c>
      <c r="Z6" s="19" t="s">
        <v>1329</v>
      </c>
      <c r="AA6" s="19" t="s">
        <v>196</v>
      </c>
      <c r="AB6" s="20" t="s">
        <v>1888</v>
      </c>
      <c r="AF6" s="2">
        <v>1E+18</v>
      </c>
      <c r="AG6" t="s">
        <v>128</v>
      </c>
      <c r="AH6" t="s">
        <v>125</v>
      </c>
    </row>
    <row r="7" spans="1:38" x14ac:dyDescent="0.35">
      <c r="C7" s="21" t="s">
        <v>406</v>
      </c>
      <c r="D7" s="13" t="s">
        <v>14</v>
      </c>
      <c r="E7" s="13" t="s">
        <v>1563</v>
      </c>
      <c r="F7" s="13"/>
      <c r="G7" s="13"/>
      <c r="H7" s="13" t="s">
        <v>1926</v>
      </c>
      <c r="I7" s="13" t="s">
        <v>2460</v>
      </c>
      <c r="J7" s="13" t="s">
        <v>104</v>
      </c>
      <c r="K7" s="13" t="s">
        <v>74</v>
      </c>
      <c r="L7" s="13" t="s">
        <v>484</v>
      </c>
      <c r="M7" s="13" t="s">
        <v>1044</v>
      </c>
      <c r="N7" s="13" t="s">
        <v>770</v>
      </c>
      <c r="O7" s="13" t="s">
        <v>1055</v>
      </c>
      <c r="P7" s="13" t="s">
        <v>407</v>
      </c>
      <c r="Q7" s="13" t="s">
        <v>770</v>
      </c>
      <c r="R7" s="13" t="s">
        <v>2148</v>
      </c>
      <c r="S7" s="13" t="s">
        <v>2151</v>
      </c>
      <c r="T7" s="13" t="s">
        <v>2053</v>
      </c>
      <c r="U7" s="13" t="s">
        <v>186</v>
      </c>
      <c r="V7" s="13" t="s">
        <v>202</v>
      </c>
      <c r="W7" s="13" t="s">
        <v>612</v>
      </c>
      <c r="X7" s="13" t="s">
        <v>2153</v>
      </c>
      <c r="Y7" s="13" t="s">
        <v>195</v>
      </c>
      <c r="Z7" s="13" t="s">
        <v>1330</v>
      </c>
      <c r="AA7" s="13" t="s">
        <v>197</v>
      </c>
      <c r="AB7" s="22" t="s">
        <v>1889</v>
      </c>
      <c r="AF7" s="2">
        <v>1E+21</v>
      </c>
      <c r="AG7" t="s">
        <v>1337</v>
      </c>
      <c r="AH7" t="s">
        <v>1336</v>
      </c>
    </row>
    <row r="8" spans="1:38" ht="15" thickBot="1" x14ac:dyDescent="0.4">
      <c r="C8" s="181"/>
      <c r="D8" s="173" t="s">
        <v>173</v>
      </c>
      <c r="E8" s="173"/>
      <c r="F8" s="173"/>
      <c r="G8" s="173"/>
      <c r="H8" s="173" t="s">
        <v>1927</v>
      </c>
      <c r="I8" s="173" t="s">
        <v>770</v>
      </c>
      <c r="J8" s="173" t="s">
        <v>1691</v>
      </c>
      <c r="K8" s="173" t="s">
        <v>75</v>
      </c>
      <c r="L8" s="173" t="s">
        <v>485</v>
      </c>
      <c r="M8" s="173" t="s">
        <v>2096</v>
      </c>
      <c r="N8" s="173" t="s">
        <v>1060</v>
      </c>
      <c r="O8" s="173" t="s">
        <v>770</v>
      </c>
      <c r="P8" s="173" t="s">
        <v>843</v>
      </c>
      <c r="Q8" s="173" t="s">
        <v>1060</v>
      </c>
      <c r="R8" s="173" t="s">
        <v>2149</v>
      </c>
      <c r="S8" s="173" t="s">
        <v>1268</v>
      </c>
      <c r="T8" s="173" t="s">
        <v>2039</v>
      </c>
      <c r="U8" s="173" t="s">
        <v>351</v>
      </c>
      <c r="V8" s="173" t="s">
        <v>203</v>
      </c>
      <c r="W8" s="173" t="s">
        <v>1913</v>
      </c>
      <c r="X8" s="173" t="s">
        <v>2154</v>
      </c>
      <c r="Y8" s="173" t="s">
        <v>2081</v>
      </c>
      <c r="Z8" s="173" t="s">
        <v>1814</v>
      </c>
      <c r="AA8" s="173" t="s">
        <v>198</v>
      </c>
      <c r="AB8" s="22" t="s">
        <v>1890</v>
      </c>
      <c r="AD8" s="8" t="s">
        <v>32</v>
      </c>
      <c r="AE8" s="13" t="s">
        <v>1317</v>
      </c>
      <c r="AF8" s="2">
        <v>9.9999999999999998E+23</v>
      </c>
      <c r="AG8" t="s">
        <v>1339</v>
      </c>
      <c r="AH8" t="s">
        <v>1338</v>
      </c>
    </row>
    <row r="9" spans="1:38" ht="21.5" thickTop="1" x14ac:dyDescent="0.5">
      <c r="B9">
        <v>1</v>
      </c>
      <c r="C9" s="699" t="s">
        <v>2857</v>
      </c>
      <c r="D9" s="210"/>
      <c r="E9" s="210"/>
      <c r="F9" s="210"/>
      <c r="G9" s="210"/>
      <c r="H9" s="210"/>
      <c r="I9" s="210"/>
      <c r="J9" s="210"/>
      <c r="K9" s="210"/>
      <c r="L9" s="210"/>
      <c r="M9" s="210"/>
      <c r="N9" s="210"/>
      <c r="O9" s="210"/>
      <c r="P9" s="210"/>
      <c r="Q9" s="210"/>
      <c r="R9" s="210"/>
      <c r="S9" s="210"/>
      <c r="T9" s="210"/>
      <c r="U9" s="210"/>
      <c r="V9" s="210"/>
      <c r="W9" s="210"/>
      <c r="X9" s="210"/>
      <c r="Y9" s="210"/>
      <c r="Z9" s="451"/>
      <c r="AA9" s="210"/>
      <c r="AB9" s="557"/>
      <c r="AC9">
        <v>1</v>
      </c>
      <c r="AF9" s="2">
        <v>1E+27</v>
      </c>
      <c r="AG9" t="s">
        <v>1341</v>
      </c>
      <c r="AH9" t="s">
        <v>1340</v>
      </c>
    </row>
    <row r="10" spans="1:38" x14ac:dyDescent="0.35">
      <c r="B10">
        <f t="shared" ref="B10:B73" si="0">B9+1</f>
        <v>2</v>
      </c>
      <c r="C10" s="23" t="s">
        <v>1870</v>
      </c>
      <c r="D10" s="7" t="s">
        <v>1090</v>
      </c>
      <c r="E10" t="s">
        <v>835</v>
      </c>
      <c r="F10" t="s">
        <v>1088</v>
      </c>
      <c r="G10" s="37" t="s">
        <v>45</v>
      </c>
      <c r="H10" s="37" t="s">
        <v>45</v>
      </c>
      <c r="I10" s="37" t="s">
        <v>1562</v>
      </c>
      <c r="J10" s="411">
        <v>0.11700000000000001</v>
      </c>
      <c r="K10" s="413">
        <f>J10*J$174</f>
        <v>0.28079999999999999</v>
      </c>
      <c r="L10" s="128">
        <f>KeyChips!M$10</f>
        <v>870</v>
      </c>
      <c r="M10" s="413">
        <f>K10/KeyChips!J$10</f>
        <v>8.7749999999999998E-3</v>
      </c>
      <c r="N10" s="108">
        <f>M10*KeyChips!W$10</f>
        <v>1.096875</v>
      </c>
      <c r="O10" s="2">
        <f>M10*KeyChips!T$10*O$3</f>
        <v>5.2991883116883116</v>
      </c>
      <c r="P10" s="129">
        <f t="shared" ref="P10:P49" si="1">N10/O10</f>
        <v>0.20698924731182797</v>
      </c>
      <c r="Q10" s="401">
        <f>1*KeyChips!P$10</f>
        <v>6000</v>
      </c>
      <c r="R10" s="34" t="s">
        <v>45</v>
      </c>
      <c r="S10" s="401" t="s">
        <v>45</v>
      </c>
      <c r="T10" s="128">
        <v>512</v>
      </c>
      <c r="U10" s="119">
        <f>V10/K$202</f>
        <v>1.125</v>
      </c>
      <c r="V10" s="129">
        <v>4.5</v>
      </c>
      <c r="W10" s="34" t="str">
        <f>W$12</f>
        <v>200-400</v>
      </c>
      <c r="X10" s="139">
        <v>1</v>
      </c>
      <c r="Y10" s="92" t="s">
        <v>45</v>
      </c>
      <c r="Z10" s="108">
        <f>17578*(AF5/AF6)</f>
        <v>17.577999999999999</v>
      </c>
      <c r="AA10" s="437" t="s">
        <v>45</v>
      </c>
      <c r="AB10" s="289" t="s">
        <v>45</v>
      </c>
      <c r="AC10">
        <f t="shared" ref="AC10:AC73" si="2">AC9+1</f>
        <v>2</v>
      </c>
    </row>
    <row r="11" spans="1:38" x14ac:dyDescent="0.35">
      <c r="B11">
        <f t="shared" si="0"/>
        <v>3</v>
      </c>
      <c r="C11" s="23" t="s">
        <v>1109</v>
      </c>
      <c r="D11" s="7" t="s">
        <v>1909</v>
      </c>
      <c r="E11" t="s">
        <v>835</v>
      </c>
      <c r="F11" t="s">
        <v>1088</v>
      </c>
      <c r="G11" s="37" t="s">
        <v>45</v>
      </c>
      <c r="H11" s="37" t="s">
        <v>45</v>
      </c>
      <c r="I11" s="37" t="s">
        <v>1562</v>
      </c>
      <c r="J11" s="157">
        <v>1.5</v>
      </c>
      <c r="K11" s="83">
        <f>J11*J$174</f>
        <v>3.5999999999999996</v>
      </c>
      <c r="L11" s="128">
        <f>KeyChips!M10</f>
        <v>870</v>
      </c>
      <c r="M11" s="119">
        <f>K11/KeyChips!J$10</f>
        <v>0.11249999999999999</v>
      </c>
      <c r="N11" s="108">
        <f>M11*KeyChips!W$10</f>
        <v>14.062499999999998</v>
      </c>
      <c r="O11" s="2">
        <f>M11*KeyChips!T$10*O$3</f>
        <v>67.938311688311686</v>
      </c>
      <c r="P11" s="129">
        <f t="shared" si="1"/>
        <v>0.20698924731182794</v>
      </c>
      <c r="Q11" s="401">
        <f>1*KeyChips!P$10</f>
        <v>6000</v>
      </c>
      <c r="R11" s="34" t="s">
        <v>45</v>
      </c>
      <c r="S11" s="401" t="s">
        <v>45</v>
      </c>
      <c r="T11" s="128">
        <v>1024</v>
      </c>
      <c r="U11" s="2">
        <f>V11/K$202</f>
        <v>10</v>
      </c>
      <c r="V11" s="108">
        <v>40</v>
      </c>
      <c r="W11" s="34" t="str">
        <f>W$12</f>
        <v>200-400</v>
      </c>
      <c r="X11" s="139">
        <v>1</v>
      </c>
      <c r="Y11" s="92" t="s">
        <v>45</v>
      </c>
      <c r="Z11" s="108">
        <f>1.92*(AF7/AF6)</f>
        <v>1920</v>
      </c>
      <c r="AA11" s="437" t="s">
        <v>45</v>
      </c>
      <c r="AB11" s="289" t="s">
        <v>45</v>
      </c>
      <c r="AC11">
        <f t="shared" si="2"/>
        <v>3</v>
      </c>
      <c r="AF11" s="6">
        <f>J11/J10</f>
        <v>12.820512820512819</v>
      </c>
      <c r="AG11" t="s">
        <v>1114</v>
      </c>
    </row>
    <row r="12" spans="1:38" x14ac:dyDescent="0.35">
      <c r="B12">
        <f t="shared" si="0"/>
        <v>4</v>
      </c>
      <c r="C12" s="422" t="s">
        <v>1110</v>
      </c>
      <c r="D12" s="7" t="s">
        <v>1736</v>
      </c>
      <c r="E12" t="s">
        <v>835</v>
      </c>
      <c r="F12" t="s">
        <v>1088</v>
      </c>
      <c r="G12" s="37" t="s">
        <v>45</v>
      </c>
      <c r="H12" s="37" t="s">
        <v>45</v>
      </c>
      <c r="I12" s="37" t="s">
        <v>1562</v>
      </c>
      <c r="J12" s="128">
        <v>175</v>
      </c>
      <c r="K12" s="2">
        <f>J12*J$174</f>
        <v>420</v>
      </c>
      <c r="L12" s="128">
        <f>KeyChips!M$10</f>
        <v>870</v>
      </c>
      <c r="M12" s="2">
        <f>K12/KeyChips!J$10</f>
        <v>13.125</v>
      </c>
      <c r="N12" s="108">
        <f>M12*KeyChips!W$10</f>
        <v>1640.625</v>
      </c>
      <c r="O12" s="2">
        <f>M12*KeyChips!T$10*O$3</f>
        <v>7926.136363636364</v>
      </c>
      <c r="P12" s="129">
        <f t="shared" si="1"/>
        <v>0.20698924731182794</v>
      </c>
      <c r="Q12" s="401">
        <f>M12*KeyChips!P$10*Q3</f>
        <v>157500</v>
      </c>
      <c r="R12" s="34">
        <v>10000</v>
      </c>
      <c r="S12" s="401">
        <f>R12*KeyChips!P10*Q3/AF2</f>
        <v>120</v>
      </c>
      <c r="T12" s="128">
        <v>2049</v>
      </c>
      <c r="U12" s="2">
        <v>500</v>
      </c>
      <c r="V12" s="108">
        <f>U12*K$202</f>
        <v>2000</v>
      </c>
      <c r="W12" s="34" t="s">
        <v>616</v>
      </c>
      <c r="X12" s="139">
        <v>1</v>
      </c>
      <c r="Y12" s="92" t="s">
        <v>45</v>
      </c>
      <c r="Z12" s="108">
        <f>314*(AF7/AF6)</f>
        <v>314000</v>
      </c>
      <c r="AA12" s="437">
        <v>9</v>
      </c>
      <c r="AB12" s="160">
        <f>((Z12*AF$2)/(R12*KeyChips!W10))/(60*60*24)</f>
        <v>2.9074074074074074</v>
      </c>
      <c r="AC12">
        <f t="shared" si="2"/>
        <v>4</v>
      </c>
      <c r="AF12" s="6">
        <f>J12/J11</f>
        <v>116.66666666666667</v>
      </c>
      <c r="AG12" t="s">
        <v>1114</v>
      </c>
    </row>
    <row r="13" spans="1:38" x14ac:dyDescent="0.35">
      <c r="B13">
        <f t="shared" si="0"/>
        <v>5</v>
      </c>
      <c r="C13" s="23" t="s">
        <v>1908</v>
      </c>
      <c r="D13" s="7" t="s">
        <v>1905</v>
      </c>
      <c r="E13" s="14" t="s">
        <v>1906</v>
      </c>
      <c r="F13" t="s">
        <v>1907</v>
      </c>
      <c r="G13" s="37" t="s">
        <v>45</v>
      </c>
      <c r="H13" s="37" t="s">
        <v>45</v>
      </c>
      <c r="I13" s="37" t="s">
        <v>45</v>
      </c>
      <c r="J13" s="108" t="s">
        <v>45</v>
      </c>
      <c r="K13" s="34" t="s">
        <v>45</v>
      </c>
      <c r="L13" s="108" t="s">
        <v>45</v>
      </c>
      <c r="M13" s="34" t="s">
        <v>45</v>
      </c>
      <c r="N13" s="108" t="s">
        <v>45</v>
      </c>
      <c r="O13" s="34" t="s">
        <v>45</v>
      </c>
      <c r="P13" s="129" t="s">
        <v>45</v>
      </c>
      <c r="Q13" s="401" t="s">
        <v>45</v>
      </c>
      <c r="R13" s="34" t="s">
        <v>45</v>
      </c>
      <c r="S13" s="401" t="s">
        <v>45</v>
      </c>
      <c r="T13" s="108" t="s">
        <v>45</v>
      </c>
      <c r="U13" s="34" t="s">
        <v>45</v>
      </c>
      <c r="V13" s="108" t="s">
        <v>45</v>
      </c>
      <c r="W13" s="34" t="s">
        <v>45</v>
      </c>
      <c r="X13" s="139" t="s">
        <v>45</v>
      </c>
      <c r="Y13" s="92" t="s">
        <v>45</v>
      </c>
      <c r="Z13" s="108" t="s">
        <v>45</v>
      </c>
      <c r="AA13" s="437" t="s">
        <v>45</v>
      </c>
      <c r="AB13" s="289" t="s">
        <v>45</v>
      </c>
      <c r="AC13">
        <f t="shared" si="2"/>
        <v>5</v>
      </c>
      <c r="AF13" s="6"/>
    </row>
    <row r="14" spans="1:38" x14ac:dyDescent="0.35">
      <c r="B14">
        <f t="shared" si="0"/>
        <v>6</v>
      </c>
      <c r="C14" s="23" t="s">
        <v>1346</v>
      </c>
      <c r="D14" s="7" t="s">
        <v>1904</v>
      </c>
      <c r="E14" t="s">
        <v>1815</v>
      </c>
      <c r="F14" t="s">
        <v>1088</v>
      </c>
      <c r="G14" s="37" t="s">
        <v>45</v>
      </c>
      <c r="H14" s="37" t="s">
        <v>45</v>
      </c>
      <c r="I14" s="37" t="s">
        <v>1562</v>
      </c>
      <c r="J14" s="128">
        <v>175</v>
      </c>
      <c r="K14" s="2">
        <f>J14*J$174</f>
        <v>420</v>
      </c>
      <c r="L14" s="128">
        <f>KeyChips!M10</f>
        <v>870</v>
      </c>
      <c r="M14" s="2">
        <f>K14/KeyChips!J$10</f>
        <v>13.125</v>
      </c>
      <c r="N14" s="108">
        <f>M14*KeyChips!W10</f>
        <v>1640.625</v>
      </c>
      <c r="O14" s="2">
        <f>M14*KeyChips!T10*O$3</f>
        <v>7926.136363636364</v>
      </c>
      <c r="P14" s="129">
        <f t="shared" si="1"/>
        <v>0.20698924731182794</v>
      </c>
      <c r="Q14" s="401">
        <f>M14*KeyChips!P$10*Q3</f>
        <v>157500</v>
      </c>
      <c r="R14" s="34" t="s">
        <v>45</v>
      </c>
      <c r="S14" s="401" t="s">
        <v>45</v>
      </c>
      <c r="T14" s="128">
        <v>16384</v>
      </c>
      <c r="U14" s="2">
        <f>U12</f>
        <v>500</v>
      </c>
      <c r="V14" s="108">
        <f>U14*K$202</f>
        <v>2000</v>
      </c>
      <c r="W14" s="34" t="str">
        <f>W$12</f>
        <v>200-400</v>
      </c>
      <c r="X14" s="139">
        <v>1</v>
      </c>
      <c r="Y14" s="92">
        <v>96</v>
      </c>
      <c r="Z14" s="108">
        <f>2.58*(AF8/AF6)</f>
        <v>2580000</v>
      </c>
      <c r="AA14" s="437" t="s">
        <v>45</v>
      </c>
      <c r="AB14" s="289" t="s">
        <v>45</v>
      </c>
      <c r="AC14">
        <f t="shared" si="2"/>
        <v>6</v>
      </c>
      <c r="AF14" s="6"/>
    </row>
    <row r="15" spans="1:38" x14ac:dyDescent="0.35">
      <c r="B15">
        <f t="shared" si="0"/>
        <v>7</v>
      </c>
      <c r="C15" s="23" t="s">
        <v>1816</v>
      </c>
      <c r="D15" s="7">
        <v>2023</v>
      </c>
      <c r="E15" t="s">
        <v>1817</v>
      </c>
      <c r="F15" t="s">
        <v>1047</v>
      </c>
      <c r="G15" s="132" t="s">
        <v>170</v>
      </c>
      <c r="H15" s="37" t="s">
        <v>45</v>
      </c>
      <c r="I15" s="132" t="s">
        <v>1565</v>
      </c>
      <c r="J15" s="128">
        <v>20</v>
      </c>
      <c r="K15" s="2">
        <f>J15*J$174</f>
        <v>48</v>
      </c>
      <c r="L15" s="128">
        <f>KeyChips!M$11</f>
        <v>1555</v>
      </c>
      <c r="M15" s="83">
        <f>K15/KeyChips!J$11</f>
        <v>1.2</v>
      </c>
      <c r="N15" s="108">
        <f>M15*KeyChips!W$11</f>
        <v>374.4</v>
      </c>
      <c r="O15" s="2">
        <f>M15*KeyChips!T$11*O$3</f>
        <v>579.74025974025972</v>
      </c>
      <c r="P15" s="129">
        <f t="shared" si="1"/>
        <v>0.64580645161290318</v>
      </c>
      <c r="Q15" s="401">
        <f>M15*KeyChips!P$11*Q3</f>
        <v>14400</v>
      </c>
      <c r="R15" s="34" t="s">
        <v>45</v>
      </c>
      <c r="S15" s="401" t="s">
        <v>45</v>
      </c>
      <c r="T15" s="108" t="s">
        <v>45</v>
      </c>
      <c r="U15" s="34" t="s">
        <v>45</v>
      </c>
      <c r="V15" s="108" t="s">
        <v>45</v>
      </c>
      <c r="W15" s="34" t="str">
        <f>W$12</f>
        <v>200-400</v>
      </c>
      <c r="X15" s="139">
        <v>1</v>
      </c>
      <c r="Y15" s="92" t="s">
        <v>45</v>
      </c>
      <c r="Z15" s="108" t="s">
        <v>45</v>
      </c>
      <c r="AA15" s="437" t="s">
        <v>45</v>
      </c>
      <c r="AB15" s="289" t="s">
        <v>45</v>
      </c>
      <c r="AC15">
        <f t="shared" si="2"/>
        <v>7</v>
      </c>
      <c r="AF15" s="69">
        <f>J15/J14</f>
        <v>0.11428571428571428</v>
      </c>
      <c r="AG15" t="s">
        <v>1113</v>
      </c>
    </row>
    <row r="16" spans="1:38" x14ac:dyDescent="0.35">
      <c r="B16">
        <f t="shared" si="0"/>
        <v>8</v>
      </c>
      <c r="C16" s="23" t="s">
        <v>1111</v>
      </c>
      <c r="D16" s="7" t="s">
        <v>1540</v>
      </c>
      <c r="E16" t="s">
        <v>1673</v>
      </c>
      <c r="F16" t="s">
        <v>1088</v>
      </c>
      <c r="G16" s="37" t="s">
        <v>169</v>
      </c>
      <c r="H16" s="37" t="s">
        <v>45</v>
      </c>
      <c r="I16" s="132" t="s">
        <v>1565</v>
      </c>
      <c r="J16" s="128">
        <v>1800</v>
      </c>
      <c r="K16" s="2">
        <f>AI_Supercomputers!M45</f>
        <v>5120</v>
      </c>
      <c r="L16" s="128">
        <f>KeyChips!M$11</f>
        <v>1555</v>
      </c>
      <c r="M16" s="2">
        <v>128</v>
      </c>
      <c r="N16" s="128">
        <f>M16*KeyChips!W11</f>
        <v>39936</v>
      </c>
      <c r="O16" s="2">
        <f>M16*KeyChips!T11*O$3</f>
        <v>61838.961038961046</v>
      </c>
      <c r="P16" s="129">
        <f t="shared" si="1"/>
        <v>0.64580645161290318</v>
      </c>
      <c r="Q16" s="401">
        <f>M16*KeyChips!P$11*Q3</f>
        <v>1536000</v>
      </c>
      <c r="R16" s="34">
        <v>25000</v>
      </c>
      <c r="S16" s="401">
        <f>R16*KeyChips!P$11*Q3/AF$2</f>
        <v>300</v>
      </c>
      <c r="T16" s="128">
        <v>32768</v>
      </c>
      <c r="U16" s="34">
        <v>13000</v>
      </c>
      <c r="V16" s="108">
        <f>U16*K$202</f>
        <v>52000</v>
      </c>
      <c r="W16" s="34" t="s">
        <v>620</v>
      </c>
      <c r="X16" s="128">
        <v>16</v>
      </c>
      <c r="Y16" s="24">
        <v>120</v>
      </c>
      <c r="Z16" s="128">
        <f>21*AF3*(AF5/AF6)</f>
        <v>21000000</v>
      </c>
      <c r="AA16" s="408">
        <v>63</v>
      </c>
      <c r="AB16" s="160">
        <v>95</v>
      </c>
      <c r="AC16">
        <f t="shared" si="2"/>
        <v>8</v>
      </c>
      <c r="AD16" t="s">
        <v>1871</v>
      </c>
      <c r="AE16" s="2">
        <f>R16*AB16*24*60*60*KeyChips!W11*(AF4/AF6)</f>
        <v>64022400</v>
      </c>
      <c r="AF16" s="6">
        <f>J16/J12</f>
        <v>10.285714285714286</v>
      </c>
      <c r="AG16" t="s">
        <v>1114</v>
      </c>
      <c r="AI16" s="2">
        <f>J16/J10</f>
        <v>15384.615384615383</v>
      </c>
      <c r="AJ16" t="s">
        <v>481</v>
      </c>
      <c r="AK16" s="15" t="s">
        <v>176</v>
      </c>
      <c r="AL16" t="s">
        <v>45</v>
      </c>
    </row>
    <row r="17" spans="2:33" x14ac:dyDescent="0.35">
      <c r="B17">
        <f t="shared" si="0"/>
        <v>9</v>
      </c>
      <c r="C17" s="23" t="s">
        <v>1818</v>
      </c>
      <c r="D17" s="7" t="s">
        <v>768</v>
      </c>
      <c r="E17" t="s">
        <v>1819</v>
      </c>
      <c r="F17" t="s">
        <v>1047</v>
      </c>
      <c r="G17" s="37" t="s">
        <v>1771</v>
      </c>
      <c r="H17" s="37" t="s">
        <v>1855</v>
      </c>
      <c r="I17" s="132" t="s">
        <v>375</v>
      </c>
      <c r="J17" s="108">
        <v>200</v>
      </c>
      <c r="K17" s="2">
        <f>J17*J$175</f>
        <v>240</v>
      </c>
      <c r="L17" s="108">
        <f>KeyChips!M$12</f>
        <v>3350</v>
      </c>
      <c r="M17" s="2">
        <f>K17/KeyChips!J$12</f>
        <v>3</v>
      </c>
      <c r="N17" s="108">
        <f>M17*KeyChips!W$12</f>
        <v>11874</v>
      </c>
      <c r="O17" s="2">
        <f>M17*KeyChips!T$12*O$3</f>
        <v>4227.2727272727279</v>
      </c>
      <c r="P17" s="129">
        <f t="shared" si="1"/>
        <v>2.8089032258064512</v>
      </c>
      <c r="Q17" s="401">
        <f>M17*KeyChips!P$12*Q3</f>
        <v>198000</v>
      </c>
      <c r="R17" s="34" t="s">
        <v>45</v>
      </c>
      <c r="S17" s="401" t="s">
        <v>45</v>
      </c>
      <c r="T17" s="108">
        <v>128000</v>
      </c>
      <c r="U17" s="34">
        <v>20000</v>
      </c>
      <c r="V17" s="108">
        <f>U17*K$202</f>
        <v>80000</v>
      </c>
      <c r="W17" s="34" t="s">
        <v>620</v>
      </c>
      <c r="X17" s="108" t="s">
        <v>619</v>
      </c>
      <c r="Y17" s="34" t="s">
        <v>619</v>
      </c>
      <c r="Z17" s="108" t="s">
        <v>45</v>
      </c>
      <c r="AA17" s="437" t="s">
        <v>619</v>
      </c>
      <c r="AB17" s="289" t="s">
        <v>45</v>
      </c>
      <c r="AC17">
        <f t="shared" si="2"/>
        <v>9</v>
      </c>
      <c r="AE17" s="408">
        <f>(AC2*R16*AB16*24)/AF2</f>
        <v>73.53</v>
      </c>
      <c r="AF17" s="69">
        <f>J17/J16</f>
        <v>0.1111111111111111</v>
      </c>
      <c r="AG17" t="s">
        <v>1113</v>
      </c>
    </row>
    <row r="18" spans="2:33" x14ac:dyDescent="0.35">
      <c r="B18">
        <f t="shared" si="0"/>
        <v>10</v>
      </c>
      <c r="C18" s="23" t="s">
        <v>1820</v>
      </c>
      <c r="D18" s="7" t="s">
        <v>1772</v>
      </c>
      <c r="E18" t="s">
        <v>1773</v>
      </c>
      <c r="F18" t="s">
        <v>1047</v>
      </c>
      <c r="G18" s="37" t="s">
        <v>170</v>
      </c>
      <c r="H18" s="37" t="s">
        <v>1856</v>
      </c>
      <c r="I18" s="132" t="s">
        <v>375</v>
      </c>
      <c r="J18" s="108">
        <v>8</v>
      </c>
      <c r="K18" s="2">
        <f>J18*J$175</f>
        <v>9.6</v>
      </c>
      <c r="L18" s="108">
        <f>KeyChips!M$12</f>
        <v>3350</v>
      </c>
      <c r="M18" s="83">
        <f>K18/KeyChips!J$12</f>
        <v>0.12</v>
      </c>
      <c r="N18" s="108">
        <f>M18*KeyChips!W$12</f>
        <v>474.96</v>
      </c>
      <c r="O18" s="2">
        <f>M18*KeyChips!T$12*O$3</f>
        <v>169.09090909090909</v>
      </c>
      <c r="P18" s="129">
        <f t="shared" si="1"/>
        <v>2.8089032258064512</v>
      </c>
      <c r="Q18" s="401">
        <f>1*KeyChips!P$12</f>
        <v>33000</v>
      </c>
      <c r="R18" s="34" t="s">
        <v>45</v>
      </c>
      <c r="S18" s="401" t="s">
        <v>45</v>
      </c>
      <c r="T18" s="108">
        <v>128000</v>
      </c>
      <c r="U18" s="34">
        <v>13000</v>
      </c>
      <c r="V18" s="108">
        <f>U18*K$202</f>
        <v>52000</v>
      </c>
      <c r="W18" s="34" t="str">
        <f>W$12</f>
        <v>200-400</v>
      </c>
      <c r="X18" s="108" t="s">
        <v>619</v>
      </c>
      <c r="Y18" s="34" t="s">
        <v>619</v>
      </c>
      <c r="Z18" s="108" t="s">
        <v>45</v>
      </c>
      <c r="AA18" s="437" t="s">
        <v>619</v>
      </c>
      <c r="AB18" s="289" t="s">
        <v>45</v>
      </c>
      <c r="AC18">
        <f t="shared" si="2"/>
        <v>10</v>
      </c>
      <c r="AF18" s="69"/>
    </row>
    <row r="19" spans="2:33" x14ac:dyDescent="0.35">
      <c r="B19">
        <f t="shared" si="0"/>
        <v>11</v>
      </c>
      <c r="C19" s="23" t="s">
        <v>2145</v>
      </c>
      <c r="D19" s="7" t="s">
        <v>1105</v>
      </c>
      <c r="E19" t="s">
        <v>1821</v>
      </c>
      <c r="F19" t="s">
        <v>1434</v>
      </c>
      <c r="G19" s="37" t="s">
        <v>1108</v>
      </c>
      <c r="H19" s="37" t="s">
        <v>1857</v>
      </c>
      <c r="I19" s="132" t="s">
        <v>375</v>
      </c>
      <c r="J19" s="108">
        <v>300</v>
      </c>
      <c r="K19" s="2">
        <f>J19*J$175</f>
        <v>360</v>
      </c>
      <c r="L19" s="108">
        <f>KeyChips!M$12</f>
        <v>3350</v>
      </c>
      <c r="M19" s="83">
        <f>K19/KeyChips!J$12</f>
        <v>4.5</v>
      </c>
      <c r="N19" s="108">
        <f>M19*KeyChips!W$12</f>
        <v>17811</v>
      </c>
      <c r="O19" s="2">
        <f>M19*KeyChips!T$12*O$3</f>
        <v>6340.909090909091</v>
      </c>
      <c r="P19" s="129">
        <f t="shared" si="1"/>
        <v>2.8089032258064517</v>
      </c>
      <c r="Q19" s="401">
        <f>M19*KeyChips!P$12*Q3</f>
        <v>297000</v>
      </c>
      <c r="R19" s="34" t="s">
        <v>45</v>
      </c>
      <c r="S19" s="401" t="s">
        <v>45</v>
      </c>
      <c r="T19" s="108">
        <f>T17</f>
        <v>128000</v>
      </c>
      <c r="U19" s="34">
        <v>20000</v>
      </c>
      <c r="V19" s="108">
        <f>U19*K$202</f>
        <v>80000</v>
      </c>
      <c r="W19" s="34" t="s">
        <v>620</v>
      </c>
      <c r="X19" s="108" t="s">
        <v>619</v>
      </c>
      <c r="Y19" s="34" t="s">
        <v>619</v>
      </c>
      <c r="Z19" s="108" t="s">
        <v>45</v>
      </c>
      <c r="AA19" s="437" t="s">
        <v>619</v>
      </c>
      <c r="AB19" s="289" t="s">
        <v>45</v>
      </c>
      <c r="AC19">
        <f t="shared" si="2"/>
        <v>11</v>
      </c>
    </row>
    <row r="20" spans="2:33" x14ac:dyDescent="0.35">
      <c r="B20">
        <f t="shared" si="0"/>
        <v>12</v>
      </c>
      <c r="C20" s="23" t="s">
        <v>1770</v>
      </c>
      <c r="D20" s="7" t="s">
        <v>1105</v>
      </c>
      <c r="E20" t="s">
        <v>1852</v>
      </c>
      <c r="F20" t="s">
        <v>1434</v>
      </c>
      <c r="G20" s="37" t="s">
        <v>169</v>
      </c>
      <c r="H20" s="37" t="s">
        <v>1892</v>
      </c>
      <c r="I20" s="132" t="s">
        <v>375</v>
      </c>
      <c r="J20" s="108">
        <v>100</v>
      </c>
      <c r="K20" s="2">
        <f>J20*J$175</f>
        <v>120</v>
      </c>
      <c r="L20" s="108">
        <f>KeyChips!M$12</f>
        <v>3350</v>
      </c>
      <c r="M20" s="83">
        <f>K20/KeyChips!J$12</f>
        <v>1.5</v>
      </c>
      <c r="N20" s="108">
        <f>M20*KeyChips!W$12</f>
        <v>5937</v>
      </c>
      <c r="O20" s="2">
        <f>M20*KeyChips!T$12*O$3</f>
        <v>2113.636363636364</v>
      </c>
      <c r="P20" s="129">
        <f t="shared" si="1"/>
        <v>2.8089032258064512</v>
      </c>
      <c r="Q20" s="401">
        <f>M20*KeyChips!P$12*Q3</f>
        <v>99000</v>
      </c>
      <c r="R20" s="34" t="s">
        <v>45</v>
      </c>
      <c r="S20" s="401" t="s">
        <v>45</v>
      </c>
      <c r="T20" s="108">
        <v>128000</v>
      </c>
      <c r="U20" s="34" t="s">
        <v>619</v>
      </c>
      <c r="V20" s="108" t="s">
        <v>619</v>
      </c>
      <c r="W20" s="34" t="s">
        <v>619</v>
      </c>
      <c r="X20" s="108" t="s">
        <v>619</v>
      </c>
      <c r="Y20" s="34" t="s">
        <v>619</v>
      </c>
      <c r="Z20" s="108" t="s">
        <v>45</v>
      </c>
      <c r="AA20" s="437" t="s">
        <v>619</v>
      </c>
      <c r="AB20" s="289" t="s">
        <v>45</v>
      </c>
      <c r="AC20">
        <f t="shared" si="2"/>
        <v>12</v>
      </c>
    </row>
    <row r="21" spans="2:33" x14ac:dyDescent="0.35">
      <c r="B21">
        <f t="shared" si="0"/>
        <v>13</v>
      </c>
      <c r="C21" s="23" t="s">
        <v>1860</v>
      </c>
      <c r="D21" s="7" t="s">
        <v>1426</v>
      </c>
      <c r="E21" t="s">
        <v>1852</v>
      </c>
      <c r="F21" t="s">
        <v>1853</v>
      </c>
      <c r="G21" s="37" t="s">
        <v>1854</v>
      </c>
      <c r="H21" s="37" t="s">
        <v>1858</v>
      </c>
      <c r="I21" s="132" t="s">
        <v>375</v>
      </c>
      <c r="J21" s="108">
        <v>20</v>
      </c>
      <c r="K21" s="2">
        <f>J21*J$176</f>
        <v>12</v>
      </c>
      <c r="L21" s="108">
        <f>KeyChips!M$12</f>
        <v>3350</v>
      </c>
      <c r="M21" s="83">
        <f>K21/KeyChips!J$12</f>
        <v>0.15</v>
      </c>
      <c r="N21" s="108">
        <f>M21*KeyChips!W$12</f>
        <v>593.69999999999993</v>
      </c>
      <c r="O21" s="2">
        <f>M21*KeyChips!T$12*O$3</f>
        <v>211.36363636363637</v>
      </c>
      <c r="P21" s="129">
        <f t="shared" ref="P21" si="3">N21/O21</f>
        <v>2.8089032258064512</v>
      </c>
      <c r="Q21" s="401">
        <f>1*KeyChips!P$12</f>
        <v>33000</v>
      </c>
      <c r="R21" s="34">
        <v>100000</v>
      </c>
      <c r="S21" s="401">
        <f>R21*KeyChips!P$12*Q$3/AF$2</f>
        <v>6600</v>
      </c>
      <c r="T21" s="108">
        <v>200000</v>
      </c>
      <c r="U21" s="34">
        <v>13000</v>
      </c>
      <c r="V21" s="108">
        <f>U21*K$202</f>
        <v>52000</v>
      </c>
      <c r="W21" s="34" t="s">
        <v>619</v>
      </c>
      <c r="X21" s="108" t="s">
        <v>619</v>
      </c>
      <c r="Y21" s="34" t="s">
        <v>619</v>
      </c>
      <c r="Z21" s="108">
        <f>(R21*AB21*24*60*60*KeyChips!W$12)/(AF$6/AF$4)</f>
        <v>341971200</v>
      </c>
      <c r="AA21" s="437">
        <f>(R21*AC$1*AB21*24)/AF$2</f>
        <v>48</v>
      </c>
      <c r="AB21" s="289">
        <v>10</v>
      </c>
      <c r="AC21">
        <f t="shared" si="2"/>
        <v>13</v>
      </c>
    </row>
    <row r="22" spans="2:33" x14ac:dyDescent="0.35">
      <c r="B22">
        <f t="shared" si="0"/>
        <v>14</v>
      </c>
      <c r="C22" s="23" t="s">
        <v>1928</v>
      </c>
      <c r="D22" s="7" t="s">
        <v>1929</v>
      </c>
      <c r="E22" t="s">
        <v>2090</v>
      </c>
      <c r="F22" t="s">
        <v>1931</v>
      </c>
      <c r="G22" s="37" t="s">
        <v>1108</v>
      </c>
      <c r="H22" s="37" t="s">
        <v>1932</v>
      </c>
      <c r="I22" s="132" t="s">
        <v>375</v>
      </c>
      <c r="J22" s="108">
        <v>5000</v>
      </c>
      <c r="K22" s="2">
        <f>J22*J$176</f>
        <v>3000</v>
      </c>
      <c r="L22" s="108">
        <f>KeyChips!M$12</f>
        <v>3350</v>
      </c>
      <c r="M22" s="83">
        <f>K22/KeyChips!J$12</f>
        <v>37.5</v>
      </c>
      <c r="N22" s="108">
        <f>M22*KeyChips!W$12</f>
        <v>148425</v>
      </c>
      <c r="O22" s="2">
        <f>M22*KeyChips!T$12*O$3</f>
        <v>52840.909090909096</v>
      </c>
      <c r="P22" s="129">
        <f t="shared" ref="P22" si="4">N22/O22</f>
        <v>2.8089032258064512</v>
      </c>
      <c r="Q22" s="401">
        <f>M22*KeyChips!P$12*Q3</f>
        <v>2475000</v>
      </c>
      <c r="R22" s="34">
        <f>R21</f>
        <v>100000</v>
      </c>
      <c r="S22" s="401">
        <f>R22*KeyChips!P$12*Q$3/AF$2</f>
        <v>6600</v>
      </c>
      <c r="T22" s="108">
        <f>T21</f>
        <v>200000</v>
      </c>
      <c r="U22" s="34">
        <v>100000</v>
      </c>
      <c r="V22" s="108">
        <f>U22*K$202</f>
        <v>400000</v>
      </c>
      <c r="W22" s="34" t="s">
        <v>619</v>
      </c>
      <c r="X22" s="108" t="s">
        <v>619</v>
      </c>
      <c r="Y22" s="34" t="s">
        <v>619</v>
      </c>
      <c r="Z22" s="108">
        <f>(R22*AB22*24*60*60*KeyChips!W$12)/(AF$6/AF$4)</f>
        <v>341971200</v>
      </c>
      <c r="AA22" s="437">
        <f>(R22*AC$1*AB22*24)/AF$2</f>
        <v>48</v>
      </c>
      <c r="AB22" s="289">
        <v>10</v>
      </c>
      <c r="AC22">
        <f t="shared" si="2"/>
        <v>14</v>
      </c>
      <c r="AD22" t="s">
        <v>2798</v>
      </c>
      <c r="AE22" s="14" t="s">
        <v>2797</v>
      </c>
      <c r="AF22" t="s">
        <v>45</v>
      </c>
    </row>
    <row r="23" spans="2:33" x14ac:dyDescent="0.35">
      <c r="B23">
        <f t="shared" si="0"/>
        <v>15</v>
      </c>
      <c r="C23" s="23" t="s">
        <v>2392</v>
      </c>
      <c r="D23" s="7" t="s">
        <v>2361</v>
      </c>
      <c r="E23" t="s">
        <v>2384</v>
      </c>
      <c r="F23" t="s">
        <v>1931</v>
      </c>
      <c r="G23" s="37" t="s">
        <v>1108</v>
      </c>
      <c r="H23" s="37" t="s">
        <v>2360</v>
      </c>
      <c r="I23" s="132" t="s">
        <v>806</v>
      </c>
      <c r="J23" s="108">
        <v>5400</v>
      </c>
      <c r="K23" s="2">
        <f>J23*J$176</f>
        <v>3240</v>
      </c>
      <c r="L23" s="108">
        <f>KeyChips!M$17</f>
        <v>16000</v>
      </c>
      <c r="M23" s="83">
        <f>K23/KeyChips!J$17</f>
        <v>8.4375</v>
      </c>
      <c r="N23" s="108">
        <f>M23*KeyChips!W$17</f>
        <v>168750</v>
      </c>
      <c r="O23" s="2">
        <f>M23*KeyChips!T$17*O$3</f>
        <v>45858.360389610389</v>
      </c>
      <c r="P23" s="129">
        <f>N23/O23</f>
        <v>3.6798088410991636</v>
      </c>
      <c r="Q23" s="401">
        <f>M23*KeyChips!P$17*Q3</f>
        <v>1096875</v>
      </c>
      <c r="R23" s="34">
        <f>R21</f>
        <v>100000</v>
      </c>
      <c r="S23" s="401">
        <f>R23*KeyChips!P$12*Q$3/AF$2</f>
        <v>6600</v>
      </c>
      <c r="T23" s="108">
        <v>128000</v>
      </c>
      <c r="U23" s="34">
        <v>114000</v>
      </c>
      <c r="V23" s="108">
        <f>U23*K$202</f>
        <v>456000</v>
      </c>
      <c r="W23" s="34" t="s">
        <v>619</v>
      </c>
      <c r="X23" s="409" t="s">
        <v>2391</v>
      </c>
      <c r="Y23" s="34" t="s">
        <v>619</v>
      </c>
      <c r="Z23" s="108">
        <f>(R23*AB23*24*60*60*KeyChips!W$12)/(AF$6/AF$4)</f>
        <v>1709856000</v>
      </c>
      <c r="AA23" s="437">
        <f>(R23*AC$1*AB23*24)/AF$2</f>
        <v>240</v>
      </c>
      <c r="AB23" s="289">
        <v>50</v>
      </c>
      <c r="AC23">
        <f t="shared" si="2"/>
        <v>15</v>
      </c>
    </row>
    <row r="24" spans="2:33" s="567" customFormat="1" x14ac:dyDescent="0.35">
      <c r="B24">
        <f t="shared" si="0"/>
        <v>16</v>
      </c>
      <c r="C24" s="587" t="s">
        <v>2266</v>
      </c>
      <c r="D24" s="740" t="s">
        <v>2200</v>
      </c>
      <c r="E24" s="588" t="s">
        <v>2949</v>
      </c>
      <c r="F24" s="725" t="s">
        <v>2218</v>
      </c>
      <c r="G24" s="589" t="s">
        <v>2265</v>
      </c>
      <c r="H24" s="725" t="s">
        <v>2264</v>
      </c>
      <c r="I24" s="725" t="s">
        <v>2269</v>
      </c>
      <c r="J24" s="590">
        <f>K24*(1/J$176)</f>
        <v>66986.666666666672</v>
      </c>
      <c r="K24" s="590">
        <f t="shared" ref="K24" si="5">K$120</f>
        <v>40192</v>
      </c>
      <c r="L24" s="591" t="str">
        <f>KeyChips!M$22</f>
        <v>&gt;16,000</v>
      </c>
      <c r="M24" s="590">
        <f>K24/KeyChips!J$22</f>
        <v>44.862435102644156</v>
      </c>
      <c r="N24" s="591">
        <f>M24*KeyChips!X22</f>
        <v>4788706.9491888937</v>
      </c>
      <c r="O24" s="590">
        <f>M24*KeyChips!T$22*O$3</f>
        <v>292559.65775859816</v>
      </c>
      <c r="P24" s="757">
        <f t="shared" si="1"/>
        <v>16.368309239479061</v>
      </c>
      <c r="Q24" s="589">
        <f>M24*KeyChips!P$22*Q3</f>
        <v>4934867.8612908572</v>
      </c>
      <c r="R24" s="591">
        <f>FutureAISupercomputers!J21</f>
        <v>513000</v>
      </c>
      <c r="S24" s="589">
        <f>FutureAISupercomputers!M21*AF1</f>
        <v>56430</v>
      </c>
      <c r="T24" s="591" t="s">
        <v>2255</v>
      </c>
      <c r="U24" s="591">
        <f>U$104*10</f>
        <v>90000000</v>
      </c>
      <c r="V24" s="591">
        <f>V104*10</f>
        <v>5760000000</v>
      </c>
      <c r="W24" s="591" t="s">
        <v>1556</v>
      </c>
      <c r="X24" s="591" t="s">
        <v>2258</v>
      </c>
      <c r="Y24" s="591" t="s">
        <v>1893</v>
      </c>
      <c r="Z24" s="591">
        <f>Z104*10</f>
        <v>3077740800</v>
      </c>
      <c r="AA24" s="741" t="s">
        <v>619</v>
      </c>
      <c r="AB24" s="593" t="s">
        <v>1956</v>
      </c>
      <c r="AC24">
        <f t="shared" si="2"/>
        <v>16</v>
      </c>
    </row>
    <row r="25" spans="2:33" s="567" customFormat="1" x14ac:dyDescent="0.35">
      <c r="B25">
        <f t="shared" si="0"/>
        <v>17</v>
      </c>
      <c r="C25" s="587" t="s">
        <v>2253</v>
      </c>
      <c r="D25" s="740" t="s">
        <v>2199</v>
      </c>
      <c r="E25" s="588" t="s">
        <v>2952</v>
      </c>
      <c r="F25" s="725" t="s">
        <v>2218</v>
      </c>
      <c r="G25" s="589" t="s">
        <v>2265</v>
      </c>
      <c r="H25" s="725" t="s">
        <v>2264</v>
      </c>
      <c r="I25" s="725" t="s">
        <v>2219</v>
      </c>
      <c r="J25" s="590">
        <f>K25*(1/J$176)</f>
        <v>66986.666666666672</v>
      </c>
      <c r="K25" s="590">
        <f>K$120</f>
        <v>40192</v>
      </c>
      <c r="L25" s="591" t="str">
        <f>KeyChips!M$23</f>
        <v>&gt;&gt;16,000</v>
      </c>
      <c r="M25" s="590">
        <f>K25/KeyChips!J23</f>
        <v>8.2419835347289663</v>
      </c>
      <c r="N25" s="591">
        <f>M25*KeyChips!X23</f>
        <v>3570558.126076356</v>
      </c>
      <c r="O25" s="590">
        <f>M25*KeyChips!T$23*O$3</f>
        <v>70640.477677461851</v>
      </c>
      <c r="P25" s="757">
        <f>N25/O25</f>
        <v>50.545498041210983</v>
      </c>
      <c r="Q25" s="589">
        <f>M25*KeyChips!P$23*Q3</f>
        <v>494519.01208373799</v>
      </c>
      <c r="R25" s="591">
        <f>FutureAISupercomputers!J27</f>
        <v>1666153.1205000007</v>
      </c>
      <c r="S25" s="589">
        <f>FutureAISupercomputers!M27*AF1</f>
        <v>99969.18723000004</v>
      </c>
      <c r="T25" s="591" t="s">
        <v>2256</v>
      </c>
      <c r="U25" s="591">
        <f>U$104*100</f>
        <v>900000000</v>
      </c>
      <c r="V25" s="591">
        <f>V104*100</f>
        <v>57600000000</v>
      </c>
      <c r="W25" s="591" t="s">
        <v>2262</v>
      </c>
      <c r="X25" s="591" t="s">
        <v>2259</v>
      </c>
      <c r="Y25" s="591" t="s">
        <v>1893</v>
      </c>
      <c r="Z25" s="591">
        <f>Z104*100</f>
        <v>30777408000</v>
      </c>
      <c r="AA25" s="741" t="s">
        <v>619</v>
      </c>
      <c r="AB25" s="593" t="s">
        <v>1956</v>
      </c>
      <c r="AC25">
        <f t="shared" si="2"/>
        <v>17</v>
      </c>
    </row>
    <row r="26" spans="2:33" x14ac:dyDescent="0.35">
      <c r="B26">
        <f t="shared" si="0"/>
        <v>18</v>
      </c>
      <c r="C26" s="517" t="s">
        <v>2283</v>
      </c>
      <c r="D26" s="740" t="s">
        <v>2198</v>
      </c>
      <c r="E26" s="588" t="s">
        <v>2956</v>
      </c>
      <c r="F26" s="725" t="s">
        <v>2218</v>
      </c>
      <c r="G26" s="589" t="s">
        <v>2265</v>
      </c>
      <c r="H26" s="725" t="s">
        <v>2264</v>
      </c>
      <c r="I26" s="589" t="s">
        <v>619</v>
      </c>
      <c r="J26" s="590">
        <f>K26*(1/J$176)</f>
        <v>66986.666666666672</v>
      </c>
      <c r="K26" s="590">
        <f>K$120</f>
        <v>40192</v>
      </c>
      <c r="L26" s="591" t="str">
        <f>KeyChips!M25</f>
        <v>&gt;&gt;16,000</v>
      </c>
      <c r="M26" s="591">
        <v>1</v>
      </c>
      <c r="N26" s="591">
        <f>N107</f>
        <v>12900</v>
      </c>
      <c r="O26" s="591">
        <f>AI_Supercomputers!J22</f>
        <v>100</v>
      </c>
      <c r="P26" s="724">
        <f>N26/O26</f>
        <v>129</v>
      </c>
      <c r="Q26" s="589">
        <f>KeyChips!P25</f>
        <v>40000</v>
      </c>
      <c r="R26" s="591">
        <f>FutureAISupercomputers!J37</f>
        <v>12964716.281006897</v>
      </c>
      <c r="S26" s="589">
        <f>FutureAISupercomputers!M37*AF1</f>
        <v>259294.32562013794</v>
      </c>
      <c r="T26" s="591" t="s">
        <v>2257</v>
      </c>
      <c r="U26" s="591">
        <f>U$104*10000</f>
        <v>90000000000</v>
      </c>
      <c r="V26" s="758">
        <f>V104*10000</f>
        <v>5760000000000</v>
      </c>
      <c r="W26" s="591" t="s">
        <v>2263</v>
      </c>
      <c r="X26" s="591" t="s">
        <v>2260</v>
      </c>
      <c r="Y26" s="591" t="s">
        <v>1893</v>
      </c>
      <c r="Z26" s="759">
        <f>Z104*10000</f>
        <v>3077740800000</v>
      </c>
      <c r="AA26" s="589" t="s">
        <v>619</v>
      </c>
      <c r="AB26" s="593" t="s">
        <v>1956</v>
      </c>
      <c r="AC26">
        <f t="shared" si="2"/>
        <v>18</v>
      </c>
    </row>
    <row r="27" spans="2:33" x14ac:dyDescent="0.35">
      <c r="B27">
        <f t="shared" si="0"/>
        <v>19</v>
      </c>
      <c r="C27" s="23" t="s">
        <v>1891</v>
      </c>
      <c r="D27" s="7" t="s">
        <v>1903</v>
      </c>
      <c r="E27" t="s">
        <v>1558</v>
      </c>
      <c r="F27" t="s">
        <v>1048</v>
      </c>
      <c r="G27" s="37" t="s">
        <v>1059</v>
      </c>
      <c r="H27" s="37" t="s">
        <v>45</v>
      </c>
      <c r="I27" s="132" t="s">
        <v>1565</v>
      </c>
      <c r="J27" s="128">
        <f t="shared" ref="J27:O27" si="6">J16</f>
        <v>1800</v>
      </c>
      <c r="K27" s="2">
        <f t="shared" si="6"/>
        <v>5120</v>
      </c>
      <c r="L27" s="128">
        <f t="shared" si="6"/>
        <v>1555</v>
      </c>
      <c r="M27" s="2">
        <f t="shared" si="6"/>
        <v>128</v>
      </c>
      <c r="N27" s="128">
        <f t="shared" si="6"/>
        <v>39936</v>
      </c>
      <c r="O27" s="2">
        <f t="shared" si="6"/>
        <v>61838.961038961046</v>
      </c>
      <c r="P27" s="129">
        <f t="shared" si="1"/>
        <v>0.64580645161290318</v>
      </c>
      <c r="Q27" s="401">
        <f>M27*KeyChips!P$11*Q3</f>
        <v>1536000</v>
      </c>
      <c r="R27" s="34" t="s">
        <v>45</v>
      </c>
      <c r="S27" s="401" t="s">
        <v>45</v>
      </c>
      <c r="T27" s="128">
        <f>T16</f>
        <v>32768</v>
      </c>
      <c r="U27" s="2">
        <f>U16</f>
        <v>13000</v>
      </c>
      <c r="V27" s="108">
        <f>U27*K$202</f>
        <v>52000</v>
      </c>
      <c r="W27" s="34" t="str">
        <f t="shared" ref="W27:AB27" si="7">W16</f>
        <v>1000-2000?</v>
      </c>
      <c r="X27" s="128">
        <f t="shared" si="7"/>
        <v>16</v>
      </c>
      <c r="Y27" s="2">
        <f t="shared" si="7"/>
        <v>120</v>
      </c>
      <c r="Z27" s="108">
        <f t="shared" si="7"/>
        <v>21000000</v>
      </c>
      <c r="AA27" s="408">
        <f t="shared" si="7"/>
        <v>63</v>
      </c>
      <c r="AB27" s="160">
        <f t="shared" si="7"/>
        <v>95</v>
      </c>
      <c r="AC27">
        <f t="shared" si="2"/>
        <v>19</v>
      </c>
    </row>
    <row r="28" spans="2:33" x14ac:dyDescent="0.35">
      <c r="B28">
        <f t="shared" si="0"/>
        <v>20</v>
      </c>
      <c r="C28" s="23" t="s">
        <v>1053</v>
      </c>
      <c r="D28" s="7" t="s">
        <v>1540</v>
      </c>
      <c r="E28" t="s">
        <v>835</v>
      </c>
      <c r="F28" t="s">
        <v>1088</v>
      </c>
      <c r="G28" s="37" t="s">
        <v>45</v>
      </c>
      <c r="H28" s="37" t="s">
        <v>45</v>
      </c>
      <c r="I28" s="132" t="s">
        <v>1565</v>
      </c>
      <c r="J28" s="128">
        <v>52</v>
      </c>
      <c r="K28" s="2">
        <f t="shared" ref="K28:K35" si="8">J28*J$174</f>
        <v>124.8</v>
      </c>
      <c r="L28" s="108">
        <f>KeyChips!M11</f>
        <v>1555</v>
      </c>
      <c r="M28" s="2">
        <f>K28/KeyChips!J$11</f>
        <v>3.12</v>
      </c>
      <c r="N28" s="108">
        <f>M28*KeyChips!W$11</f>
        <v>973.44</v>
      </c>
      <c r="O28" s="2">
        <f>M28*KeyChips!T$11*O$3</f>
        <v>1507.3246753246756</v>
      </c>
      <c r="P28" s="129">
        <f t="shared" si="1"/>
        <v>0.64580645161290318</v>
      </c>
      <c r="Q28" s="401">
        <f>M28*KeyChips!P$11*Q3</f>
        <v>37440</v>
      </c>
      <c r="R28" s="34" t="s">
        <v>45</v>
      </c>
      <c r="S28" s="401" t="s">
        <v>45</v>
      </c>
      <c r="T28" s="128">
        <v>100000</v>
      </c>
      <c r="U28" s="34" t="s">
        <v>45</v>
      </c>
      <c r="V28" s="108" t="s">
        <v>45</v>
      </c>
      <c r="W28" s="34" t="str">
        <f>W12</f>
        <v>200-400</v>
      </c>
      <c r="X28" s="108" t="s">
        <v>45</v>
      </c>
      <c r="Y28" s="34" t="s">
        <v>45</v>
      </c>
      <c r="Z28" s="108" t="s">
        <v>45</v>
      </c>
      <c r="AA28" s="437" t="s">
        <v>45</v>
      </c>
      <c r="AB28" s="289" t="s">
        <v>45</v>
      </c>
      <c r="AC28">
        <f t="shared" si="2"/>
        <v>20</v>
      </c>
    </row>
    <row r="29" spans="2:33" x14ac:dyDescent="0.35">
      <c r="B29">
        <f t="shared" si="0"/>
        <v>21</v>
      </c>
      <c r="C29" s="23" t="s">
        <v>1542</v>
      </c>
      <c r="D29" s="7" t="s">
        <v>1543</v>
      </c>
      <c r="E29" t="s">
        <v>835</v>
      </c>
      <c r="F29" t="s">
        <v>1088</v>
      </c>
      <c r="G29" s="37" t="s">
        <v>45</v>
      </c>
      <c r="H29" s="37" t="s">
        <v>45</v>
      </c>
      <c r="I29" s="132" t="s">
        <v>1565</v>
      </c>
      <c r="J29" s="128">
        <v>130</v>
      </c>
      <c r="K29" s="2">
        <f t="shared" si="8"/>
        <v>312</v>
      </c>
      <c r="L29" s="108">
        <f>KeyChips!M11</f>
        <v>1555</v>
      </c>
      <c r="M29" s="2">
        <f>K29/KeyChips!J$11</f>
        <v>7.8</v>
      </c>
      <c r="N29" s="108">
        <f>M29*KeyChips!W$11</f>
        <v>2433.6</v>
      </c>
      <c r="O29" s="2">
        <f>M29*KeyChips!T$11*O$3</f>
        <v>3768.3116883116886</v>
      </c>
      <c r="P29" s="129">
        <f t="shared" ref="P29" si="9">N29/O29</f>
        <v>0.64580645161290318</v>
      </c>
      <c r="Q29" s="401">
        <f>M29*KeyChips!P$11*Q3</f>
        <v>93600</v>
      </c>
      <c r="R29" s="34" t="s">
        <v>45</v>
      </c>
      <c r="S29" s="401" t="s">
        <v>45</v>
      </c>
      <c r="T29" s="128">
        <v>100000</v>
      </c>
      <c r="U29" s="34" t="s">
        <v>45</v>
      </c>
      <c r="V29" s="108" t="s">
        <v>45</v>
      </c>
      <c r="W29" s="34" t="str">
        <f>W14</f>
        <v>200-400</v>
      </c>
      <c r="X29" s="108" t="s">
        <v>45</v>
      </c>
      <c r="Y29" s="34" t="s">
        <v>45</v>
      </c>
      <c r="Z29" s="108">
        <v>3870000</v>
      </c>
      <c r="AA29" s="437" t="s">
        <v>45</v>
      </c>
      <c r="AB29" s="289" t="s">
        <v>45</v>
      </c>
      <c r="AC29">
        <f t="shared" si="2"/>
        <v>21</v>
      </c>
    </row>
    <row r="30" spans="2:33" x14ac:dyDescent="0.35">
      <c r="B30">
        <f t="shared" si="0"/>
        <v>22</v>
      </c>
      <c r="C30" s="23" t="s">
        <v>812</v>
      </c>
      <c r="D30" s="212" t="s">
        <v>754</v>
      </c>
      <c r="E30" t="s">
        <v>1559</v>
      </c>
      <c r="F30" t="s">
        <v>1047</v>
      </c>
      <c r="G30" s="37" t="s">
        <v>169</v>
      </c>
      <c r="H30" s="37" t="s">
        <v>45</v>
      </c>
      <c r="I30" s="132" t="s">
        <v>375</v>
      </c>
      <c r="J30" s="128">
        <v>2000</v>
      </c>
      <c r="K30" s="2">
        <f t="shared" si="8"/>
        <v>4800</v>
      </c>
      <c r="L30" s="108">
        <f>KeyChips!M$12</f>
        <v>3350</v>
      </c>
      <c r="M30" s="2">
        <f>K30/KeyChips!J$12</f>
        <v>60</v>
      </c>
      <c r="N30" s="108">
        <f>M30*KeyChips!W$12</f>
        <v>237480</v>
      </c>
      <c r="O30" s="2">
        <f>M30*KeyChips!T$12*O$3</f>
        <v>84545.454545454544</v>
      </c>
      <c r="P30" s="129">
        <f t="shared" si="1"/>
        <v>2.8089032258064517</v>
      </c>
      <c r="Q30" s="401">
        <f>M30*KeyChips!P$12*Q3</f>
        <v>3960000</v>
      </c>
      <c r="R30" s="34" t="s">
        <v>45</v>
      </c>
      <c r="S30" s="401" t="s">
        <v>45</v>
      </c>
      <c r="T30" s="128">
        <v>200000</v>
      </c>
      <c r="U30" s="34">
        <v>40000</v>
      </c>
      <c r="V30" s="108">
        <f t="shared" ref="V30:V36" si="10">U30*K$202</f>
        <v>160000</v>
      </c>
      <c r="W30" s="34" t="str">
        <f>W16</f>
        <v>1000-2000?</v>
      </c>
      <c r="X30" s="108" t="s">
        <v>45</v>
      </c>
      <c r="Y30" s="34" t="s">
        <v>45</v>
      </c>
      <c r="Z30" s="108">
        <v>16400000</v>
      </c>
      <c r="AA30" s="437" t="s">
        <v>45</v>
      </c>
      <c r="AB30" s="289" t="s">
        <v>45</v>
      </c>
      <c r="AC30">
        <f t="shared" si="2"/>
        <v>22</v>
      </c>
    </row>
    <row r="31" spans="2:33" x14ac:dyDescent="0.35">
      <c r="B31">
        <f t="shared" si="0"/>
        <v>23</v>
      </c>
      <c r="C31" s="23" t="s">
        <v>1825</v>
      </c>
      <c r="D31" s="212" t="s">
        <v>1156</v>
      </c>
      <c r="E31" t="s">
        <v>1559</v>
      </c>
      <c r="F31" t="s">
        <v>1047</v>
      </c>
      <c r="G31" s="37" t="s">
        <v>169</v>
      </c>
      <c r="H31" s="37" t="s">
        <v>1791</v>
      </c>
      <c r="I31" s="132" t="s">
        <v>375</v>
      </c>
      <c r="J31" s="128">
        <v>175</v>
      </c>
      <c r="K31" s="2">
        <f t="shared" si="8"/>
        <v>420</v>
      </c>
      <c r="L31" s="108">
        <f>KeyChips!M$12</f>
        <v>3350</v>
      </c>
      <c r="M31" s="2">
        <f>K31/KeyChips!J$12</f>
        <v>5.25</v>
      </c>
      <c r="N31" s="108">
        <f>M31*KeyChips!W$12</f>
        <v>20779.5</v>
      </c>
      <c r="O31" s="2">
        <f>M31*KeyChips!T$12*O$3</f>
        <v>7397.727272727273</v>
      </c>
      <c r="P31" s="129">
        <f>N31/O31</f>
        <v>2.8089032258064517</v>
      </c>
      <c r="Q31" s="401">
        <f>M31*KeyChips!P$12*Q3</f>
        <v>346500</v>
      </c>
      <c r="R31" s="34">
        <v>50000</v>
      </c>
      <c r="S31" s="401">
        <f>R31*KeyChips!P$12*Q3/AF$2</f>
        <v>3300</v>
      </c>
      <c r="T31" s="128">
        <v>200000</v>
      </c>
      <c r="U31" s="34">
        <v>20000</v>
      </c>
      <c r="V31" s="108">
        <f t="shared" si="10"/>
        <v>80000</v>
      </c>
      <c r="W31" s="34" t="str">
        <f>W17</f>
        <v>1000-2000?</v>
      </c>
      <c r="X31" s="108" t="s">
        <v>45</v>
      </c>
      <c r="Y31" s="34" t="s">
        <v>45</v>
      </c>
      <c r="Z31" s="108">
        <v>49800000</v>
      </c>
      <c r="AA31" s="437">
        <f>AC$3*((Z31/(KeyChips!W$12*60*60)))</f>
        <v>20.970186963112681</v>
      </c>
      <c r="AB31" s="160">
        <f>((Z31*AF$2)/(R31*KeyChips!W$12))/(60*60*24)</f>
        <v>2.9125259670989836</v>
      </c>
      <c r="AC31">
        <f t="shared" si="2"/>
        <v>23</v>
      </c>
      <c r="AD31" t="s">
        <v>1895</v>
      </c>
    </row>
    <row r="32" spans="2:33" x14ac:dyDescent="0.35">
      <c r="B32">
        <f t="shared" si="0"/>
        <v>24</v>
      </c>
      <c r="C32" s="23" t="s">
        <v>2378</v>
      </c>
      <c r="D32" s="212" t="s">
        <v>2379</v>
      </c>
      <c r="E32" t="s">
        <v>1559</v>
      </c>
      <c r="F32" t="s">
        <v>1047</v>
      </c>
      <c r="G32" s="37" t="s">
        <v>169</v>
      </c>
      <c r="H32" s="37" t="s">
        <v>2383</v>
      </c>
      <c r="I32" s="132" t="s">
        <v>375</v>
      </c>
      <c r="J32" s="128">
        <v>175</v>
      </c>
      <c r="K32" s="2">
        <f t="shared" si="8"/>
        <v>420</v>
      </c>
      <c r="L32" s="108">
        <f>KeyChips!M$12</f>
        <v>3350</v>
      </c>
      <c r="M32" s="2">
        <f>K32/KeyChips!J$12</f>
        <v>5.25</v>
      </c>
      <c r="N32" s="108">
        <f>M32*KeyChips!W$12</f>
        <v>20779.5</v>
      </c>
      <c r="O32" s="2">
        <f>M32*KeyChips!T$12*O$3</f>
        <v>7397.727272727273</v>
      </c>
      <c r="P32" s="129">
        <f>N32/O32</f>
        <v>2.8089032258064517</v>
      </c>
      <c r="Q32" s="401">
        <f>M32*KeyChips!P$12*Q3</f>
        <v>346500</v>
      </c>
      <c r="R32" s="34" t="s">
        <v>45</v>
      </c>
      <c r="S32" s="401" t="s">
        <v>45</v>
      </c>
      <c r="T32" s="128">
        <v>200000</v>
      </c>
      <c r="U32" s="34">
        <v>20000</v>
      </c>
      <c r="V32" s="108">
        <f t="shared" si="10"/>
        <v>80000</v>
      </c>
      <c r="W32" s="34"/>
      <c r="X32" s="108"/>
      <c r="Y32" s="34"/>
      <c r="Z32" s="108">
        <v>33500000</v>
      </c>
      <c r="AA32" s="437"/>
      <c r="AB32" s="160"/>
      <c r="AC32">
        <f t="shared" si="2"/>
        <v>24</v>
      </c>
    </row>
    <row r="33" spans="2:31" x14ac:dyDescent="0.35">
      <c r="B33">
        <f t="shared" si="0"/>
        <v>25</v>
      </c>
      <c r="C33" s="23" t="s">
        <v>467</v>
      </c>
      <c r="D33" s="7">
        <v>2023</v>
      </c>
      <c r="E33" t="s">
        <v>835</v>
      </c>
      <c r="F33" t="s">
        <v>1047</v>
      </c>
      <c r="G33" s="37" t="s">
        <v>170</v>
      </c>
      <c r="H33" s="37" t="s">
        <v>45</v>
      </c>
      <c r="I33" s="132" t="s">
        <v>1565</v>
      </c>
      <c r="J33" s="128">
        <v>137</v>
      </c>
      <c r="K33" s="2">
        <f t="shared" si="8"/>
        <v>328.8</v>
      </c>
      <c r="L33" s="108">
        <f>KeyChips!M$11</f>
        <v>1555</v>
      </c>
      <c r="M33" s="2">
        <f>K33/KeyChips!J$11</f>
        <v>8.2200000000000006</v>
      </c>
      <c r="N33" s="108">
        <f>M33*KeyChips!W$11</f>
        <v>2564.6400000000003</v>
      </c>
      <c r="O33" s="2">
        <f>M33*KeyChips!T$11*O$3</f>
        <v>3971.2207792207796</v>
      </c>
      <c r="P33" s="129">
        <f t="shared" si="1"/>
        <v>0.64580645161290329</v>
      </c>
      <c r="Q33" s="401">
        <f>M33*KeyChips!P$11*Q3</f>
        <v>98640.000000000015</v>
      </c>
      <c r="R33" s="34" t="s">
        <v>45</v>
      </c>
      <c r="S33" s="401" t="s">
        <v>45</v>
      </c>
      <c r="T33" s="108" t="s">
        <v>45</v>
      </c>
      <c r="U33" s="2">
        <v>1560</v>
      </c>
      <c r="V33" s="108">
        <f t="shared" si="10"/>
        <v>6240</v>
      </c>
      <c r="W33" s="34" t="str">
        <f>W12</f>
        <v>200-400</v>
      </c>
      <c r="X33" s="108" t="s">
        <v>45</v>
      </c>
      <c r="Y33" s="24">
        <v>64</v>
      </c>
      <c r="Z33" s="108" t="s">
        <v>45</v>
      </c>
      <c r="AA33" s="437" t="s">
        <v>45</v>
      </c>
      <c r="AB33" s="289" t="s">
        <v>45</v>
      </c>
      <c r="AC33">
        <f t="shared" si="2"/>
        <v>25</v>
      </c>
    </row>
    <row r="34" spans="2:31" x14ac:dyDescent="0.35">
      <c r="B34">
        <f t="shared" si="0"/>
        <v>26</v>
      </c>
      <c r="C34" s="23" t="s">
        <v>1623</v>
      </c>
      <c r="D34" s="7">
        <v>2022</v>
      </c>
      <c r="E34" t="s">
        <v>1581</v>
      </c>
      <c r="F34" t="s">
        <v>1049</v>
      </c>
      <c r="G34" s="37" t="s">
        <v>45</v>
      </c>
      <c r="H34" s="37" t="s">
        <v>45</v>
      </c>
      <c r="I34" s="37" t="s">
        <v>1582</v>
      </c>
      <c r="J34" s="128">
        <v>540</v>
      </c>
      <c r="K34" s="2">
        <f t="shared" si="8"/>
        <v>1296</v>
      </c>
      <c r="L34" s="108">
        <f>KeyChips!M$34</f>
        <v>614</v>
      </c>
      <c r="M34" s="2">
        <f>K34/KeyChips!J$34</f>
        <v>162</v>
      </c>
      <c r="N34" s="108">
        <f>M34*KeyChips!W$34</f>
        <v>22356</v>
      </c>
      <c r="O34" s="2">
        <f>M34*KeyChips!T$34*O$3</f>
        <v>57068.181818181823</v>
      </c>
      <c r="P34" s="129">
        <f t="shared" si="1"/>
        <v>0.39174193548387093</v>
      </c>
      <c r="Q34" s="401" t="s">
        <v>45</v>
      </c>
      <c r="R34" s="34">
        <v>6144</v>
      </c>
      <c r="S34" s="401" t="s">
        <v>45</v>
      </c>
      <c r="T34" s="108" t="s">
        <v>45</v>
      </c>
      <c r="U34" s="2">
        <v>3600</v>
      </c>
      <c r="V34" s="108">
        <f t="shared" si="10"/>
        <v>14400</v>
      </c>
      <c r="W34" s="34">
        <v>207</v>
      </c>
      <c r="X34" s="108" t="s">
        <v>45</v>
      </c>
      <c r="Y34" s="92" t="s">
        <v>45</v>
      </c>
      <c r="Z34" s="108">
        <f>2.56*(AF8/AF6)</f>
        <v>2560000</v>
      </c>
      <c r="AA34" s="437">
        <v>15</v>
      </c>
      <c r="AB34" s="160">
        <f>((Z34*AF$2)/(R34*KeyChips!W33))/(60*60*24)</f>
        <v>17.536475869809202</v>
      </c>
      <c r="AC34">
        <f t="shared" si="2"/>
        <v>26</v>
      </c>
    </row>
    <row r="35" spans="2:31" x14ac:dyDescent="0.35">
      <c r="B35">
        <f t="shared" si="0"/>
        <v>27</v>
      </c>
      <c r="C35" s="23" t="s">
        <v>1795</v>
      </c>
      <c r="D35" s="7" t="s">
        <v>814</v>
      </c>
      <c r="E35" t="s">
        <v>835</v>
      </c>
      <c r="F35" t="s">
        <v>1047</v>
      </c>
      <c r="G35" s="37" t="s">
        <v>209</v>
      </c>
      <c r="H35" s="37" t="s">
        <v>1793</v>
      </c>
      <c r="I35" s="37" t="s">
        <v>1582</v>
      </c>
      <c r="J35" s="128">
        <v>180</v>
      </c>
      <c r="K35" s="2">
        <f t="shared" si="8"/>
        <v>432</v>
      </c>
      <c r="L35" s="108">
        <f>KeyChips!M$34</f>
        <v>614</v>
      </c>
      <c r="M35" s="2">
        <f>K35/KeyChips!J$34</f>
        <v>54</v>
      </c>
      <c r="N35" s="108">
        <f>M35*KeyChips!W$34</f>
        <v>7452</v>
      </c>
      <c r="O35" s="2">
        <f>M35*KeyChips!T$34*O$3</f>
        <v>19022.727272727272</v>
      </c>
      <c r="P35" s="129">
        <f t="shared" si="1"/>
        <v>0.39174193548387098</v>
      </c>
      <c r="Q35" s="401" t="s">
        <v>45</v>
      </c>
      <c r="R35" s="34">
        <v>57000</v>
      </c>
      <c r="S35" s="401">
        <f>R35*KeyChips!P33*Q3/AF2</f>
        <v>456</v>
      </c>
      <c r="T35" s="108">
        <v>2000000</v>
      </c>
      <c r="U35" s="2">
        <v>3600</v>
      </c>
      <c r="V35" s="108">
        <f t="shared" si="10"/>
        <v>14400</v>
      </c>
      <c r="W35" s="34" t="s">
        <v>620</v>
      </c>
      <c r="X35" s="409" t="s">
        <v>2143</v>
      </c>
      <c r="Y35" s="92" t="s">
        <v>45</v>
      </c>
      <c r="Z35" s="108">
        <f>15.8*AF3*(AF5/AF6)</f>
        <v>15800000</v>
      </c>
      <c r="AA35" s="437">
        <f>AC$1*((Z35/(KeyChips!W33*60*60)))</f>
        <v>31.91919191919192</v>
      </c>
      <c r="AB35" s="160">
        <f>((Z35*AF$2)/(R35*KeyChips!W33))/(60*60*24)</f>
        <v>11.666371315494123</v>
      </c>
      <c r="AC35">
        <f t="shared" si="2"/>
        <v>27</v>
      </c>
    </row>
    <row r="36" spans="2:31" x14ac:dyDescent="0.35">
      <c r="B36">
        <f t="shared" si="0"/>
        <v>28</v>
      </c>
      <c r="C36" s="23" t="s">
        <v>3083</v>
      </c>
      <c r="D36" s="7" t="s">
        <v>2507</v>
      </c>
      <c r="E36" t="s">
        <v>835</v>
      </c>
      <c r="F36" t="s">
        <v>1047</v>
      </c>
      <c r="G36" s="37" t="s">
        <v>209</v>
      </c>
      <c r="H36" s="37" t="s">
        <v>1793</v>
      </c>
      <c r="I36" s="37" t="s">
        <v>3084</v>
      </c>
      <c r="J36" s="128">
        <v>200</v>
      </c>
      <c r="K36" s="2">
        <f>J36*J$176</f>
        <v>120</v>
      </c>
      <c r="L36" s="108">
        <f>KeyChips!M36</f>
        <v>1640</v>
      </c>
      <c r="M36" s="2">
        <f>K36/KeyChips!J36</f>
        <v>3.75</v>
      </c>
      <c r="N36" s="108">
        <f>M36*KeyChips!W36</f>
        <v>6945</v>
      </c>
      <c r="O36" s="2"/>
      <c r="P36" s="129"/>
      <c r="Q36" s="401" t="s">
        <v>45</v>
      </c>
      <c r="R36" s="34"/>
      <c r="S36" s="401"/>
      <c r="T36" s="108">
        <v>1000000</v>
      </c>
      <c r="U36" s="2">
        <v>20000</v>
      </c>
      <c r="V36" s="108">
        <f t="shared" si="10"/>
        <v>80000</v>
      </c>
      <c r="W36" s="34"/>
      <c r="X36" s="409"/>
      <c r="Y36" s="92"/>
      <c r="Z36" s="108"/>
      <c r="AA36" s="437"/>
      <c r="AB36" s="160"/>
      <c r="AC36">
        <f t="shared" si="2"/>
        <v>28</v>
      </c>
    </row>
    <row r="37" spans="2:31" x14ac:dyDescent="0.35">
      <c r="B37">
        <f t="shared" si="0"/>
        <v>29</v>
      </c>
      <c r="C37" s="23" t="s">
        <v>1153</v>
      </c>
      <c r="D37" s="7" t="s">
        <v>771</v>
      </c>
      <c r="E37" t="s">
        <v>835</v>
      </c>
      <c r="F37" t="s">
        <v>1047</v>
      </c>
      <c r="G37" s="37" t="s">
        <v>170</v>
      </c>
      <c r="H37" s="37" t="s">
        <v>45</v>
      </c>
      <c r="I37" s="132" t="s">
        <v>1565</v>
      </c>
      <c r="J37" s="128">
        <v>65</v>
      </c>
      <c r="K37" s="2">
        <f>J37*J$174</f>
        <v>156</v>
      </c>
      <c r="L37" s="108">
        <f>KeyChips!M$11</f>
        <v>1555</v>
      </c>
      <c r="M37" s="2">
        <f>K37/KeyChips!J$11</f>
        <v>3.9</v>
      </c>
      <c r="N37" s="108">
        <f>M37*KeyChips!W$11</f>
        <v>1216.8</v>
      </c>
      <c r="O37" s="2">
        <f>M37*KeyChips!T$11*O$3</f>
        <v>1884.1558441558443</v>
      </c>
      <c r="P37" s="129">
        <f t="shared" si="1"/>
        <v>0.64580645161290318</v>
      </c>
      <c r="Q37" s="401">
        <f>M37*KeyChips!P$11*Q3</f>
        <v>46800</v>
      </c>
      <c r="R37" s="34">
        <v>2048</v>
      </c>
      <c r="S37" s="401">
        <f>R37*KeyChips!P$11*Q3/AF$2</f>
        <v>24.576000000000001</v>
      </c>
      <c r="T37" s="128">
        <v>2000</v>
      </c>
      <c r="U37" s="2">
        <v>1400</v>
      </c>
      <c r="V37" s="128">
        <v>5000</v>
      </c>
      <c r="W37" s="34" t="str">
        <f>W12</f>
        <v>200-400</v>
      </c>
      <c r="X37" s="108">
        <v>1</v>
      </c>
      <c r="Y37" s="34" t="s">
        <v>45</v>
      </c>
      <c r="Z37" s="108">
        <f>550*(AF7/AF6)</f>
        <v>550000</v>
      </c>
      <c r="AA37" s="437">
        <f>1.02*AC2</f>
        <v>1.3158000000000001</v>
      </c>
      <c r="AB37" s="160">
        <f>((Z37*AF$2)/(R37*KeyChips!W11))/(60*60*24)</f>
        <v>9.9624097630282531</v>
      </c>
      <c r="AC37">
        <f t="shared" si="2"/>
        <v>29</v>
      </c>
      <c r="AD37" t="s">
        <v>1899</v>
      </c>
      <c r="AE37" t="s">
        <v>45</v>
      </c>
    </row>
    <row r="38" spans="2:31" x14ac:dyDescent="0.35">
      <c r="B38">
        <f t="shared" si="0"/>
        <v>30</v>
      </c>
      <c r="C38" s="23" t="s">
        <v>1154</v>
      </c>
      <c r="D38" s="214" t="s">
        <v>654</v>
      </c>
      <c r="E38" t="s">
        <v>835</v>
      </c>
      <c r="F38" t="s">
        <v>1047</v>
      </c>
      <c r="G38" s="37" t="s">
        <v>170</v>
      </c>
      <c r="H38" s="37" t="s">
        <v>45</v>
      </c>
      <c r="I38" s="132" t="s">
        <v>1565</v>
      </c>
      <c r="J38" s="108">
        <v>70</v>
      </c>
      <c r="K38" s="2">
        <f>J38*J$174</f>
        <v>168</v>
      </c>
      <c r="L38" s="108">
        <f>KeyChips!M$11</f>
        <v>1555</v>
      </c>
      <c r="M38" s="2">
        <f>K38/KeyChips!J$11</f>
        <v>4.2</v>
      </c>
      <c r="N38" s="108">
        <f>M38*KeyChips!W$11</f>
        <v>1310.4000000000001</v>
      </c>
      <c r="O38" s="2">
        <f>M38*KeyChips!T$11*O$3</f>
        <v>2029.0909090909092</v>
      </c>
      <c r="P38" s="129">
        <f t="shared" si="1"/>
        <v>0.64580645161290318</v>
      </c>
      <c r="Q38" s="401">
        <f>M38*KeyChips!P$11*Q3</f>
        <v>50400</v>
      </c>
      <c r="R38" s="34">
        <v>2048</v>
      </c>
      <c r="S38" s="401">
        <f>R38*KeyChips!P$11*Q3/AF$2</f>
        <v>24.576000000000001</v>
      </c>
      <c r="T38" s="108">
        <v>4000</v>
      </c>
      <c r="U38" s="2">
        <v>2000</v>
      </c>
      <c r="V38" s="108">
        <f>U38*K$202</f>
        <v>8000</v>
      </c>
      <c r="W38" s="34" t="str">
        <f>W12</f>
        <v>200-400</v>
      </c>
      <c r="X38" s="108">
        <v>1</v>
      </c>
      <c r="Y38" s="34" t="s">
        <v>45</v>
      </c>
      <c r="Z38" s="108">
        <f>810*(AF7/AF6)</f>
        <v>810000</v>
      </c>
      <c r="AA38" s="408">
        <f>1.7*AC2</f>
        <v>2.1930000000000001</v>
      </c>
      <c r="AB38" s="160">
        <f>((Z38*AF$2)/(R38*KeyChips!W$11))/(60*60*24)</f>
        <v>14.671912560096155</v>
      </c>
      <c r="AC38">
        <f t="shared" si="2"/>
        <v>30</v>
      </c>
      <c r="AD38" t="s">
        <v>1900</v>
      </c>
      <c r="AE38" t="s">
        <v>45</v>
      </c>
    </row>
    <row r="39" spans="2:31" x14ac:dyDescent="0.35">
      <c r="B39">
        <f t="shared" si="0"/>
        <v>31</v>
      </c>
      <c r="C39" s="23" t="s">
        <v>981</v>
      </c>
      <c r="D39" s="7" t="s">
        <v>982</v>
      </c>
      <c r="E39" t="s">
        <v>835</v>
      </c>
      <c r="F39" t="s">
        <v>1050</v>
      </c>
      <c r="G39" s="37" t="s">
        <v>170</v>
      </c>
      <c r="H39" s="37" t="s">
        <v>45</v>
      </c>
      <c r="I39" s="132" t="s">
        <v>375</v>
      </c>
      <c r="J39" s="108">
        <v>405</v>
      </c>
      <c r="K39" s="2">
        <f>J39*J$174</f>
        <v>972</v>
      </c>
      <c r="L39" s="108">
        <f>KeyChips!M$12</f>
        <v>3350</v>
      </c>
      <c r="M39" s="2">
        <f>K39/KeyChips!J$12</f>
        <v>12.15</v>
      </c>
      <c r="N39" s="108">
        <f>M39*KeyChips!W$12</f>
        <v>48089.700000000004</v>
      </c>
      <c r="O39" s="2">
        <f>M39*KeyChips!T$12*O$3</f>
        <v>17120.454545454548</v>
      </c>
      <c r="P39" s="129">
        <f t="shared" si="1"/>
        <v>2.8089032258064517</v>
      </c>
      <c r="Q39" s="401">
        <f>M39*KeyChips!P$12*Q3</f>
        <v>801900</v>
      </c>
      <c r="R39" s="34">
        <v>24576</v>
      </c>
      <c r="S39" s="401">
        <f>R39*KeyChips!P$12*Q3/AF$2</f>
        <v>1622.0160000000001</v>
      </c>
      <c r="T39" s="108">
        <v>128000</v>
      </c>
      <c r="U39" s="2">
        <v>15000</v>
      </c>
      <c r="V39" s="108">
        <f>U39*K$202</f>
        <v>60000</v>
      </c>
      <c r="W39" s="34" t="str">
        <f>W14</f>
        <v>200-400</v>
      </c>
      <c r="X39" s="108">
        <v>1</v>
      </c>
      <c r="Y39" s="34" t="s">
        <v>45</v>
      </c>
      <c r="Z39" s="108">
        <f>38*(AF8/AF6)</f>
        <v>38000000</v>
      </c>
      <c r="AA39" s="437">
        <f>AC$1*((Z39/(KeyChips!W12*60*60)))</f>
        <v>5.3337824939644038</v>
      </c>
      <c r="AB39" s="160">
        <f>((Z39*AF$2)/(R39*KeyChips!W$12))/(60*60*24)</f>
        <v>4.5215034433698902</v>
      </c>
      <c r="AC39">
        <f t="shared" si="2"/>
        <v>31</v>
      </c>
      <c r="AD39" t="s">
        <v>1865</v>
      </c>
      <c r="AE39" t="s">
        <v>45</v>
      </c>
    </row>
    <row r="40" spans="2:31" x14ac:dyDescent="0.35">
      <c r="B40">
        <f t="shared" si="0"/>
        <v>32</v>
      </c>
      <c r="C40" s="23" t="s">
        <v>984</v>
      </c>
      <c r="D40" s="7" t="s">
        <v>982</v>
      </c>
      <c r="E40" t="s">
        <v>835</v>
      </c>
      <c r="F40" t="s">
        <v>1050</v>
      </c>
      <c r="G40" s="37" t="s">
        <v>170</v>
      </c>
      <c r="H40" s="37" t="s">
        <v>45</v>
      </c>
      <c r="I40" s="132" t="s">
        <v>375</v>
      </c>
      <c r="J40" s="108">
        <v>8</v>
      </c>
      <c r="K40" s="2">
        <f>J40*J$174</f>
        <v>19.2</v>
      </c>
      <c r="L40" s="108">
        <f>KeyChips!M$12</f>
        <v>3350</v>
      </c>
      <c r="M40" s="83">
        <f>K40/KeyChips!J$12</f>
        <v>0.24</v>
      </c>
      <c r="N40" s="108">
        <f>M40*KeyChips!W$12</f>
        <v>949.92</v>
      </c>
      <c r="O40" s="2">
        <f>M40*KeyChips!T$12*O$3</f>
        <v>338.18181818181819</v>
      </c>
      <c r="P40" s="129">
        <f t="shared" si="1"/>
        <v>2.8089032258064512</v>
      </c>
      <c r="Q40" s="401">
        <f>1*KeyChips!P$12</f>
        <v>33000</v>
      </c>
      <c r="R40" s="34" t="s">
        <v>45</v>
      </c>
      <c r="S40" s="34" t="s">
        <v>45</v>
      </c>
      <c r="T40" s="108">
        <v>128000</v>
      </c>
      <c r="U40" s="2">
        <v>15000</v>
      </c>
      <c r="V40" s="108">
        <f>U40*K$202</f>
        <v>60000</v>
      </c>
      <c r="W40" s="34" t="str">
        <f>W15</f>
        <v>200-400</v>
      </c>
      <c r="X40" s="108">
        <v>1</v>
      </c>
      <c r="Y40" s="34" t="s">
        <v>45</v>
      </c>
      <c r="Z40" s="108" t="s">
        <v>45</v>
      </c>
      <c r="AA40" s="437" t="s">
        <v>45</v>
      </c>
      <c r="AB40" s="289" t="s">
        <v>45</v>
      </c>
      <c r="AC40">
        <f t="shared" si="2"/>
        <v>32</v>
      </c>
    </row>
    <row r="41" spans="2:31" x14ac:dyDescent="0.35">
      <c r="B41">
        <f t="shared" si="0"/>
        <v>33</v>
      </c>
      <c r="C41" s="23" t="s">
        <v>1843</v>
      </c>
      <c r="D41" s="7" t="s">
        <v>1150</v>
      </c>
      <c r="E41" t="s">
        <v>835</v>
      </c>
      <c r="F41" t="s">
        <v>1050</v>
      </c>
      <c r="G41" s="37" t="s">
        <v>170</v>
      </c>
      <c r="H41" s="37" t="s">
        <v>1787</v>
      </c>
      <c r="I41" s="132" t="s">
        <v>375</v>
      </c>
      <c r="J41" s="108">
        <v>70</v>
      </c>
      <c r="K41" s="2">
        <f>J41*J$174</f>
        <v>168</v>
      </c>
      <c r="L41" s="108">
        <f>KeyChips!M$12</f>
        <v>3350</v>
      </c>
      <c r="M41" s="83">
        <f>K41/KeyChips!J$12</f>
        <v>2.1</v>
      </c>
      <c r="N41" s="108">
        <f>M41*KeyChips!W$12</f>
        <v>8311.8000000000011</v>
      </c>
      <c r="O41" s="2">
        <f>M41*KeyChips!T$12*O$3</f>
        <v>2959.0909090909095</v>
      </c>
      <c r="P41" s="129">
        <f t="shared" si="1"/>
        <v>2.8089032258064517</v>
      </c>
      <c r="Q41" s="401">
        <f>M41*KeyChips!P$12*Q$3</f>
        <v>138600</v>
      </c>
      <c r="R41" s="34">
        <v>128000</v>
      </c>
      <c r="S41" s="401">
        <f>R41*KeyChips!P$12*Q$3/AF$2</f>
        <v>8448</v>
      </c>
      <c r="T41" s="108">
        <v>128000</v>
      </c>
      <c r="U41" s="2">
        <v>15000</v>
      </c>
      <c r="V41" s="108">
        <f>U41*K$202</f>
        <v>60000</v>
      </c>
      <c r="W41" s="34" t="str">
        <f>W40</f>
        <v>200-400</v>
      </c>
      <c r="X41" s="108">
        <v>1</v>
      </c>
      <c r="Y41" s="34" t="s">
        <v>45</v>
      </c>
      <c r="Z41" s="108">
        <f>39.3*60*60*KeyChips!W12</f>
        <v>559977840</v>
      </c>
      <c r="AA41" s="437">
        <f>39.3*AC1</f>
        <v>78.599999999999994</v>
      </c>
      <c r="AB41" s="160">
        <f>((Z41*AF$2)/(R41*KeyChips!W$12))/(60*60*24)</f>
        <v>12.79296875</v>
      </c>
      <c r="AC41">
        <f t="shared" si="2"/>
        <v>33</v>
      </c>
      <c r="AD41" t="s">
        <v>1842</v>
      </c>
      <c r="AE41" t="s">
        <v>45</v>
      </c>
    </row>
    <row r="42" spans="2:31" x14ac:dyDescent="0.35">
      <c r="B42">
        <f t="shared" si="0"/>
        <v>34</v>
      </c>
      <c r="C42" s="23" t="s">
        <v>3162</v>
      </c>
      <c r="D42" s="7" t="s">
        <v>3153</v>
      </c>
      <c r="E42" t="s">
        <v>3163</v>
      </c>
      <c r="F42" t="s">
        <v>3160</v>
      </c>
      <c r="G42" s="37"/>
      <c r="H42" s="37"/>
      <c r="I42" s="132" t="s">
        <v>375</v>
      </c>
      <c r="J42" s="108">
        <v>2000</v>
      </c>
      <c r="K42" s="2">
        <f>J42*J$176</f>
        <v>1200</v>
      </c>
      <c r="L42" s="108">
        <f>KeyChips!M$12</f>
        <v>3350</v>
      </c>
      <c r="M42" s="83">
        <f>K42/KeyChips!J$12</f>
        <v>15</v>
      </c>
      <c r="N42" s="108">
        <f>M42*KeyChips!W$12</f>
        <v>59370</v>
      </c>
      <c r="O42" s="2">
        <f>M42*KeyChips!T$12*O$3</f>
        <v>21136.363636363636</v>
      </c>
      <c r="P42" s="129">
        <f t="shared" si="1"/>
        <v>2.8089032258064517</v>
      </c>
      <c r="Q42" s="401">
        <f>M42*KeyChips!P$12*Q$3</f>
        <v>990000</v>
      </c>
      <c r="R42" s="34">
        <v>128000</v>
      </c>
      <c r="S42" s="401">
        <f>R42*KeyChips!P$12*Q$3/AF$2</f>
        <v>8448</v>
      </c>
      <c r="T42" s="108" t="s">
        <v>45</v>
      </c>
      <c r="U42" s="2">
        <v>30000</v>
      </c>
      <c r="V42" s="108">
        <f>U42*K$202</f>
        <v>120000</v>
      </c>
      <c r="W42" s="34" t="s">
        <v>620</v>
      </c>
      <c r="X42" s="409" t="s">
        <v>3156</v>
      </c>
      <c r="Y42" s="34" t="s">
        <v>45</v>
      </c>
      <c r="Z42" s="108"/>
      <c r="AA42" s="437"/>
      <c r="AB42" s="160"/>
      <c r="AC42">
        <f t="shared" si="2"/>
        <v>34</v>
      </c>
    </row>
    <row r="43" spans="2:31" x14ac:dyDescent="0.35">
      <c r="B43">
        <f t="shared" si="0"/>
        <v>35</v>
      </c>
      <c r="C43" s="23" t="s">
        <v>3161</v>
      </c>
      <c r="D43" s="7" t="s">
        <v>3153</v>
      </c>
      <c r="E43" t="s">
        <v>3159</v>
      </c>
      <c r="F43" t="s">
        <v>1050</v>
      </c>
      <c r="G43" s="37"/>
      <c r="H43" s="37" t="s">
        <v>3165</v>
      </c>
      <c r="I43" s="132" t="s">
        <v>375</v>
      </c>
      <c r="J43" s="108">
        <v>400</v>
      </c>
      <c r="K43" s="2">
        <f t="shared" ref="K43:K44" si="11">J43*J$176</f>
        <v>240</v>
      </c>
      <c r="L43" s="108">
        <f>KeyChips!M$12</f>
        <v>3350</v>
      </c>
      <c r="M43" s="83">
        <f>K43/KeyChips!J$12</f>
        <v>3</v>
      </c>
      <c r="N43" s="108">
        <f>M43*KeyChips!W$12</f>
        <v>11874</v>
      </c>
      <c r="O43" s="2">
        <f>M43*KeyChips!T$12*O$3</f>
        <v>4227.2727272727279</v>
      </c>
      <c r="P43" s="129">
        <f t="shared" si="1"/>
        <v>2.8089032258064512</v>
      </c>
      <c r="Q43" s="401">
        <f>M43*KeyChips!P$12*Q$3</f>
        <v>198000</v>
      </c>
      <c r="R43" s="34">
        <v>128000</v>
      </c>
      <c r="S43" s="401">
        <f>R43*KeyChips!P$12*Q$3/AF$2</f>
        <v>8448</v>
      </c>
      <c r="T43" s="108">
        <v>1000000</v>
      </c>
      <c r="U43" s="2">
        <v>30000</v>
      </c>
      <c r="V43" s="108">
        <f t="shared" ref="V43:V44" si="12">U43*K$202</f>
        <v>120000</v>
      </c>
      <c r="W43" s="34" t="s">
        <v>620</v>
      </c>
      <c r="X43" s="409" t="s">
        <v>3157</v>
      </c>
      <c r="Y43" s="34" t="s">
        <v>45</v>
      </c>
      <c r="Z43" s="108"/>
      <c r="AA43" s="437"/>
      <c r="AB43" s="160"/>
      <c r="AC43">
        <f t="shared" si="2"/>
        <v>35</v>
      </c>
    </row>
    <row r="44" spans="2:31" x14ac:dyDescent="0.35">
      <c r="B44">
        <f t="shared" si="0"/>
        <v>36</v>
      </c>
      <c r="C44" s="23" t="s">
        <v>3155</v>
      </c>
      <c r="D44" s="7" t="s">
        <v>3153</v>
      </c>
      <c r="E44" t="s">
        <v>3159</v>
      </c>
      <c r="F44" t="s">
        <v>1050</v>
      </c>
      <c r="G44" s="37"/>
      <c r="H44" s="37"/>
      <c r="I44" s="132" t="s">
        <v>375</v>
      </c>
      <c r="J44" s="108">
        <v>109</v>
      </c>
      <c r="K44" s="2">
        <f t="shared" si="11"/>
        <v>65.399999999999991</v>
      </c>
      <c r="L44" s="108">
        <f>KeyChips!M$12</f>
        <v>3350</v>
      </c>
      <c r="M44" s="83">
        <f>K44/KeyChips!J$12</f>
        <v>0.81749999999999989</v>
      </c>
      <c r="N44" s="108">
        <f>M44*KeyChips!W$12</f>
        <v>3235.6649999999995</v>
      </c>
      <c r="O44" s="2">
        <f>M44*KeyChips!T$12*O$3</f>
        <v>1151.931818181818</v>
      </c>
      <c r="P44" s="129">
        <f t="shared" ref="P44" si="13">N44/O44</f>
        <v>2.8089032258064517</v>
      </c>
      <c r="Q44" s="401">
        <f>M44*KeyChips!P$12*Q$3</f>
        <v>53954.999999999993</v>
      </c>
      <c r="R44" s="34">
        <v>128000</v>
      </c>
      <c r="S44" s="401">
        <f>R44*KeyChips!P$12*Q$3/AF$2</f>
        <v>8448</v>
      </c>
      <c r="T44" s="108">
        <v>10000000</v>
      </c>
      <c r="U44" s="2">
        <v>30000</v>
      </c>
      <c r="V44" s="108">
        <f t="shared" si="12"/>
        <v>120000</v>
      </c>
      <c r="W44" s="34" t="s">
        <v>620</v>
      </c>
      <c r="X44" s="409" t="s">
        <v>3158</v>
      </c>
      <c r="Y44" s="34" t="s">
        <v>45</v>
      </c>
      <c r="Z44" s="108"/>
      <c r="AA44" s="437"/>
      <c r="AB44" s="160"/>
      <c r="AC44">
        <f t="shared" si="2"/>
        <v>36</v>
      </c>
    </row>
    <row r="45" spans="2:31" x14ac:dyDescent="0.35">
      <c r="B45">
        <f t="shared" si="0"/>
        <v>37</v>
      </c>
      <c r="C45" s="23" t="s">
        <v>1056</v>
      </c>
      <c r="D45" s="7">
        <v>2022</v>
      </c>
      <c r="E45" t="s">
        <v>835</v>
      </c>
      <c r="F45" t="s">
        <v>1047</v>
      </c>
      <c r="G45" s="37" t="s">
        <v>209</v>
      </c>
      <c r="H45" s="37" t="s">
        <v>45</v>
      </c>
      <c r="I45" s="132" t="s">
        <v>1565</v>
      </c>
      <c r="J45" s="108">
        <v>70</v>
      </c>
      <c r="K45" s="2">
        <f>J45*J$174</f>
        <v>168</v>
      </c>
      <c r="L45" s="108">
        <f>KeyChips!M$11</f>
        <v>1555</v>
      </c>
      <c r="M45" s="2">
        <f>K45/KeyChips!J$11</f>
        <v>4.2</v>
      </c>
      <c r="N45" s="108">
        <f>M45*KeyChips!W$11</f>
        <v>1310.4000000000001</v>
      </c>
      <c r="O45" s="2">
        <f>M45*KeyChips!T$11*O$3</f>
        <v>2029.0909090909092</v>
      </c>
      <c r="P45" s="129">
        <f t="shared" si="1"/>
        <v>0.64580645161290318</v>
      </c>
      <c r="Q45" s="401">
        <f>M45*KeyChips!P$11*Q3</f>
        <v>50400</v>
      </c>
      <c r="R45" s="34" t="s">
        <v>45</v>
      </c>
      <c r="S45" s="34" t="s">
        <v>45</v>
      </c>
      <c r="T45" s="108" t="s">
        <v>45</v>
      </c>
      <c r="U45" s="34" t="s">
        <v>45</v>
      </c>
      <c r="V45" s="108" t="s">
        <v>45</v>
      </c>
      <c r="W45" s="34" t="str">
        <f t="shared" ref="W45:W67" si="14">W$12</f>
        <v>200-400</v>
      </c>
      <c r="X45" s="108" t="s">
        <v>45</v>
      </c>
      <c r="Y45" s="34" t="s">
        <v>45</v>
      </c>
      <c r="Z45" s="108" t="s">
        <v>45</v>
      </c>
      <c r="AA45" s="437" t="s">
        <v>45</v>
      </c>
      <c r="AB45" s="289" t="s">
        <v>45</v>
      </c>
      <c r="AC45">
        <f t="shared" si="2"/>
        <v>37</v>
      </c>
    </row>
    <row r="46" spans="2:31" x14ac:dyDescent="0.35">
      <c r="B46">
        <f t="shared" si="0"/>
        <v>38</v>
      </c>
      <c r="C46" s="23" t="s">
        <v>1845</v>
      </c>
      <c r="D46" s="7" t="s">
        <v>1426</v>
      </c>
      <c r="E46" t="s">
        <v>835</v>
      </c>
      <c r="F46" t="s">
        <v>1047</v>
      </c>
      <c r="G46" s="37" t="s">
        <v>170</v>
      </c>
      <c r="H46" s="37" t="s">
        <v>1844</v>
      </c>
      <c r="I46" s="132" t="s">
        <v>375</v>
      </c>
      <c r="J46" s="108">
        <v>671</v>
      </c>
      <c r="K46" s="2">
        <f>1543/2</f>
        <v>771.5</v>
      </c>
      <c r="L46" s="108">
        <f>KeyChips!M$12</f>
        <v>3350</v>
      </c>
      <c r="M46" s="2">
        <f>K46/KeyChips!J$12</f>
        <v>9.6437500000000007</v>
      </c>
      <c r="N46" s="108">
        <f>M46*KeyChips!W$12</f>
        <v>38169.962500000001</v>
      </c>
      <c r="O46" s="2">
        <f>M46*KeyChips!T$12*O$3</f>
        <v>13588.920454545458</v>
      </c>
      <c r="P46" s="129">
        <f t="shared" si="1"/>
        <v>2.8089032258064512</v>
      </c>
      <c r="Q46" s="401">
        <f>M46*KeyChips!P$12*Q3</f>
        <v>636487.5</v>
      </c>
      <c r="R46" s="34" t="s">
        <v>45</v>
      </c>
      <c r="S46" s="34" t="s">
        <v>45</v>
      </c>
      <c r="T46" s="108" t="s">
        <v>45</v>
      </c>
      <c r="U46" s="34" t="s">
        <v>45</v>
      </c>
      <c r="V46" s="108" t="s">
        <v>45</v>
      </c>
      <c r="W46" s="34" t="str">
        <f>W$54</f>
        <v>1000-2000?</v>
      </c>
      <c r="X46" s="409" t="s">
        <v>1766</v>
      </c>
      <c r="Y46" s="34" t="s">
        <v>45</v>
      </c>
      <c r="Z46" s="108" t="s">
        <v>45</v>
      </c>
      <c r="AA46" s="437" t="s">
        <v>45</v>
      </c>
      <c r="AB46" s="289" t="s">
        <v>45</v>
      </c>
      <c r="AC46">
        <f t="shared" si="2"/>
        <v>38</v>
      </c>
    </row>
    <row r="47" spans="2:31" x14ac:dyDescent="0.35">
      <c r="B47">
        <f t="shared" si="0"/>
        <v>39</v>
      </c>
      <c r="C47" s="23" t="s">
        <v>2139</v>
      </c>
      <c r="D47" s="7" t="s">
        <v>1996</v>
      </c>
      <c r="E47" t="s">
        <v>835</v>
      </c>
      <c r="F47" t="s">
        <v>1047</v>
      </c>
      <c r="G47" s="37"/>
      <c r="H47" s="37"/>
      <c r="I47" s="132" t="s">
        <v>375</v>
      </c>
      <c r="J47" s="108">
        <v>141</v>
      </c>
      <c r="K47" s="2">
        <v>300</v>
      </c>
      <c r="L47" s="108">
        <f>KeyChips!M$12</f>
        <v>3350</v>
      </c>
      <c r="M47" s="2">
        <f>K47/KeyChips!J$12</f>
        <v>3.75</v>
      </c>
      <c r="N47" s="108">
        <f>M47*KeyChips!W$12</f>
        <v>14842.5</v>
      </c>
      <c r="O47" s="2">
        <f>M47*KeyChips!T$12*O$3</f>
        <v>5284.090909090909</v>
      </c>
      <c r="P47" s="129">
        <f t="shared" ref="P47" si="15">N47/O47</f>
        <v>2.8089032258064517</v>
      </c>
      <c r="Q47" s="401">
        <f>M47*KeyChips!P$12*Q3</f>
        <v>247500</v>
      </c>
      <c r="R47" s="34" t="s">
        <v>45</v>
      </c>
      <c r="S47" s="34" t="s">
        <v>45</v>
      </c>
      <c r="T47" s="108">
        <v>64000</v>
      </c>
      <c r="U47" s="34" t="s">
        <v>45</v>
      </c>
      <c r="V47" s="108" t="s">
        <v>45</v>
      </c>
      <c r="W47" s="34" t="str">
        <f>W35</f>
        <v>1000-2000?</v>
      </c>
      <c r="X47" s="409" t="s">
        <v>2141</v>
      </c>
      <c r="Y47" s="34" t="s">
        <v>45</v>
      </c>
      <c r="Z47" s="108"/>
      <c r="AA47" s="437"/>
      <c r="AB47" s="289"/>
      <c r="AC47">
        <f t="shared" si="2"/>
        <v>39</v>
      </c>
    </row>
    <row r="48" spans="2:31" x14ac:dyDescent="0.35">
      <c r="B48">
        <f t="shared" si="0"/>
        <v>40</v>
      </c>
      <c r="C48" s="23" t="s">
        <v>2458</v>
      </c>
      <c r="D48" s="7" t="s">
        <v>1946</v>
      </c>
      <c r="E48" t="s">
        <v>2464</v>
      </c>
      <c r="F48" t="s">
        <v>1047</v>
      </c>
      <c r="G48" s="37"/>
      <c r="H48" s="37"/>
      <c r="I48" s="132" t="s">
        <v>375</v>
      </c>
      <c r="J48" s="108">
        <v>40</v>
      </c>
      <c r="K48" s="2">
        <f>J48*J$176</f>
        <v>24</v>
      </c>
      <c r="L48" s="108">
        <f>KeyChips!M$12</f>
        <v>3350</v>
      </c>
      <c r="M48" s="83">
        <f>K48/KeyChips!J$12</f>
        <v>0.3</v>
      </c>
      <c r="N48" s="108">
        <f>M48*KeyChips!W$12</f>
        <v>1187.3999999999999</v>
      </c>
      <c r="O48" s="2">
        <f>M48*KeyChips!T$12*O$3</f>
        <v>422.72727272727275</v>
      </c>
      <c r="P48" s="129">
        <f t="shared" ref="P48" si="16">N48/O48</f>
        <v>2.8089032258064512</v>
      </c>
      <c r="Q48" s="401">
        <f>1*KeyChips!P$12*Q3</f>
        <v>66000</v>
      </c>
      <c r="R48" s="34" t="s">
        <v>45</v>
      </c>
      <c r="S48" s="34" t="s">
        <v>45</v>
      </c>
      <c r="T48" s="108"/>
      <c r="U48" s="34">
        <v>5000</v>
      </c>
      <c r="V48" s="108"/>
      <c r="W48" s="34"/>
      <c r="X48" s="409"/>
      <c r="Y48" s="34"/>
      <c r="Z48" s="108"/>
      <c r="AA48" s="437"/>
      <c r="AB48" s="289"/>
      <c r="AC48">
        <f t="shared" si="2"/>
        <v>40</v>
      </c>
    </row>
    <row r="49" spans="2:34" x14ac:dyDescent="0.35">
      <c r="B49">
        <f t="shared" si="0"/>
        <v>41</v>
      </c>
      <c r="C49" s="23" t="s">
        <v>1624</v>
      </c>
      <c r="D49" s="7">
        <v>2023</v>
      </c>
      <c r="E49" t="s">
        <v>835</v>
      </c>
      <c r="F49" t="s">
        <v>1049</v>
      </c>
      <c r="G49" s="37" t="s">
        <v>671</v>
      </c>
      <c r="H49" s="37" t="s">
        <v>45</v>
      </c>
      <c r="I49" s="132" t="s">
        <v>375</v>
      </c>
      <c r="J49" s="108">
        <v>314</v>
      </c>
      <c r="K49" s="2">
        <f>J49*J$174</f>
        <v>753.6</v>
      </c>
      <c r="L49" s="108">
        <f>KeyChips!M$12</f>
        <v>3350</v>
      </c>
      <c r="M49" s="2">
        <f>K49/KeyChips!J$12</f>
        <v>9.42</v>
      </c>
      <c r="N49" s="108">
        <f>M49*KeyChips!W$12</f>
        <v>37284.36</v>
      </c>
      <c r="O49" s="2">
        <f>M49*KeyChips!T$12*O$3</f>
        <v>13273.636363636364</v>
      </c>
      <c r="P49" s="129">
        <f t="shared" si="1"/>
        <v>2.8089032258064517</v>
      </c>
      <c r="Q49" s="401">
        <f>M49*KeyChips!P$12*Q$3</f>
        <v>621720</v>
      </c>
      <c r="R49" s="34" t="s">
        <v>45</v>
      </c>
      <c r="S49" s="34" t="s">
        <v>45</v>
      </c>
      <c r="T49" s="108">
        <v>8192</v>
      </c>
      <c r="U49" s="34">
        <v>6000</v>
      </c>
      <c r="V49" s="108">
        <f t="shared" ref="V49:V54" si="17">U49*K$202</f>
        <v>24000</v>
      </c>
      <c r="W49" s="34" t="str">
        <f>W35</f>
        <v>1000-2000?</v>
      </c>
      <c r="X49" s="409" t="s">
        <v>1861</v>
      </c>
      <c r="Y49" s="34" t="s">
        <v>45</v>
      </c>
      <c r="Z49" s="108" t="s">
        <v>45</v>
      </c>
      <c r="AA49" s="437" t="s">
        <v>45</v>
      </c>
      <c r="AB49" s="289" t="s">
        <v>45</v>
      </c>
      <c r="AC49">
        <f t="shared" si="2"/>
        <v>41</v>
      </c>
    </row>
    <row r="50" spans="2:34" x14ac:dyDescent="0.35">
      <c r="B50">
        <f t="shared" si="0"/>
        <v>42</v>
      </c>
      <c r="C50" s="23" t="s">
        <v>1785</v>
      </c>
      <c r="D50" s="7" t="s">
        <v>1156</v>
      </c>
      <c r="E50" t="s">
        <v>1583</v>
      </c>
      <c r="F50" t="s">
        <v>1049</v>
      </c>
      <c r="G50" s="37" t="s">
        <v>671</v>
      </c>
      <c r="H50" s="37" t="s">
        <v>1776</v>
      </c>
      <c r="I50" s="132" t="s">
        <v>375</v>
      </c>
      <c r="J50" s="108">
        <v>400</v>
      </c>
      <c r="K50" s="2">
        <f>J50*J$175</f>
        <v>480</v>
      </c>
      <c r="L50" s="108">
        <f>KeyChips!M$12</f>
        <v>3350</v>
      </c>
      <c r="M50" s="2">
        <f>K50/KeyChips!J$12</f>
        <v>6</v>
      </c>
      <c r="N50" s="108">
        <f>M50*KeyChips!W$12</f>
        <v>23748</v>
      </c>
      <c r="O50" s="2">
        <f>M50*KeyChips!T$12*O$3</f>
        <v>8454.5454545454559</v>
      </c>
      <c r="P50" s="129">
        <f t="shared" ref="P50:P51" si="18">N50/O50</f>
        <v>2.8089032258064512</v>
      </c>
      <c r="Q50" s="401">
        <f>M50*KeyChips!P$12*Q$3</f>
        <v>396000</v>
      </c>
      <c r="R50" s="34">
        <v>20000</v>
      </c>
      <c r="S50" s="401">
        <f>R50*KeyChips!P$12*Q3/AF$2</f>
        <v>1320</v>
      </c>
      <c r="T50" s="108" t="s">
        <v>45</v>
      </c>
      <c r="U50" s="34">
        <v>15000</v>
      </c>
      <c r="V50" s="108">
        <f t="shared" si="17"/>
        <v>60000</v>
      </c>
      <c r="W50" s="34" t="str">
        <f>W16</f>
        <v>1000-2000?</v>
      </c>
      <c r="X50" s="108" t="s">
        <v>45</v>
      </c>
      <c r="Y50" s="34" t="s">
        <v>45</v>
      </c>
      <c r="Z50" s="108">
        <v>53000000</v>
      </c>
      <c r="AA50" s="437">
        <f>AC$1*((Z50/(KeyChips!W$12*60*60)))</f>
        <v>7.4392229521082474</v>
      </c>
      <c r="AB50" s="160">
        <f>((Z50*AF$2)/(R50*KeyChips!W$12))/(60*60*24)</f>
        <v>7.7491905751127588</v>
      </c>
      <c r="AC50">
        <f t="shared" si="2"/>
        <v>42</v>
      </c>
      <c r="AD50" t="s">
        <v>2394</v>
      </c>
      <c r="AE50" t="s">
        <v>45</v>
      </c>
    </row>
    <row r="51" spans="2:34" x14ac:dyDescent="0.35">
      <c r="B51">
        <f t="shared" si="0"/>
        <v>43</v>
      </c>
      <c r="C51" s="23" t="s">
        <v>1625</v>
      </c>
      <c r="D51" s="7" t="s">
        <v>1150</v>
      </c>
      <c r="E51" t="s">
        <v>1583</v>
      </c>
      <c r="F51" t="s">
        <v>1152</v>
      </c>
      <c r="G51" s="37" t="s">
        <v>671</v>
      </c>
      <c r="H51" s="37" t="s">
        <v>45</v>
      </c>
      <c r="I51" s="132" t="s">
        <v>375</v>
      </c>
      <c r="J51" s="108">
        <v>928</v>
      </c>
      <c r="K51" s="2">
        <f>J51*J$176</f>
        <v>556.79999999999995</v>
      </c>
      <c r="L51" s="108">
        <f>KeyChips!M$12</f>
        <v>3350</v>
      </c>
      <c r="M51" s="2">
        <f>K51/KeyChips!J$12</f>
        <v>6.9599999999999991</v>
      </c>
      <c r="N51" s="108">
        <f>M51*KeyChips!W$12</f>
        <v>27547.679999999997</v>
      </c>
      <c r="O51" s="2">
        <f>M51*KeyChips!T$12*O$3</f>
        <v>9807.2727272727261</v>
      </c>
      <c r="P51" s="129">
        <f t="shared" si="18"/>
        <v>2.8089032258064517</v>
      </c>
      <c r="Q51" s="401">
        <f>M51*KeyChips!P$12*Q$3</f>
        <v>459359.99999999994</v>
      </c>
      <c r="R51" s="34">
        <f>AI_Supercomputers!I24</f>
        <v>200000</v>
      </c>
      <c r="S51" s="401">
        <f>R51*KeyChips!P$12*Q3/AF$2</f>
        <v>13200</v>
      </c>
      <c r="T51" s="108" t="s">
        <v>45</v>
      </c>
      <c r="U51" s="34">
        <v>36200</v>
      </c>
      <c r="V51" s="108">
        <f t="shared" si="17"/>
        <v>144800</v>
      </c>
      <c r="W51" s="34" t="str">
        <f>W16</f>
        <v>1000-2000?</v>
      </c>
      <c r="X51" s="108" t="s">
        <v>45</v>
      </c>
      <c r="Y51" s="34" t="s">
        <v>45</v>
      </c>
      <c r="Z51" s="108">
        <f>(R51*AB51*24*60*60*KeyChips!W$12)/(AF$6/AF$4)</f>
        <v>526635648</v>
      </c>
      <c r="AA51" s="437">
        <f>(R51*AC$1*AB51*24)/AF$2</f>
        <v>73.92</v>
      </c>
      <c r="AB51" s="289">
        <v>7.7</v>
      </c>
      <c r="AC51">
        <f t="shared" si="2"/>
        <v>43</v>
      </c>
      <c r="AD51" t="s">
        <v>2217</v>
      </c>
      <c r="AE51" t="s">
        <v>45</v>
      </c>
    </row>
    <row r="52" spans="2:34" x14ac:dyDescent="0.35">
      <c r="B52">
        <f t="shared" si="0"/>
        <v>44</v>
      </c>
      <c r="C52" s="23" t="s">
        <v>1750</v>
      </c>
      <c r="D52" s="7" t="s">
        <v>1156</v>
      </c>
      <c r="E52" t="s">
        <v>1765</v>
      </c>
      <c r="F52" t="s">
        <v>1050</v>
      </c>
      <c r="G52" s="37" t="s">
        <v>45</v>
      </c>
      <c r="H52" s="37" t="s">
        <v>45</v>
      </c>
      <c r="I52" s="132" t="s">
        <v>1739</v>
      </c>
      <c r="J52" s="108">
        <v>236</v>
      </c>
      <c r="K52" s="2">
        <f>J52*J$174</f>
        <v>566.4</v>
      </c>
      <c r="L52" s="108">
        <f>KeyChips!M$13</f>
        <v>2000</v>
      </c>
      <c r="M52" s="2">
        <f>K52/KeyChips!J$13</f>
        <v>7.08</v>
      </c>
      <c r="N52" s="108">
        <f>M52*KeyChips!W$13</f>
        <v>21424.080000000002</v>
      </c>
      <c r="O52" s="2">
        <f>M52*KeyChips!T$13*O$3</f>
        <v>4988.181818181818</v>
      </c>
      <c r="P52" s="129">
        <f>N52/O52</f>
        <v>4.2949677419354844</v>
      </c>
      <c r="Q52" s="401">
        <f>M52*KeyChips!P$13*Q3</f>
        <v>444326.64</v>
      </c>
      <c r="R52" s="34">
        <f>R53</f>
        <v>2048</v>
      </c>
      <c r="S52" s="401">
        <f>R52*KeyChips!P$13*Q$3/AF$2</f>
        <v>128.52838399999999</v>
      </c>
      <c r="T52" s="108">
        <v>128000</v>
      </c>
      <c r="U52" s="34">
        <v>10200</v>
      </c>
      <c r="V52" s="108">
        <f t="shared" si="17"/>
        <v>40800</v>
      </c>
      <c r="W52" s="34" t="str">
        <f>W14</f>
        <v>200-400</v>
      </c>
      <c r="X52" s="108" t="s">
        <v>45</v>
      </c>
      <c r="Y52" s="34" t="s">
        <v>45</v>
      </c>
      <c r="Z52" s="108">
        <v>1290000</v>
      </c>
      <c r="AA52" s="437">
        <f>AC$1*((Z52/(KeyChips!W36*60*60)))</f>
        <v>0.38696904247660185</v>
      </c>
      <c r="AB52" s="160">
        <f>((Z52*AF$2)/(R52*KeyChips!W36))/(60*60*24)</f>
        <v>3.936452661912047</v>
      </c>
      <c r="AC52">
        <f t="shared" si="2"/>
        <v>44</v>
      </c>
    </row>
    <row r="53" spans="2:34" x14ac:dyDescent="0.35">
      <c r="B53">
        <f t="shared" si="0"/>
        <v>45</v>
      </c>
      <c r="C53" s="23" t="s">
        <v>1826</v>
      </c>
      <c r="D53" s="7" t="s">
        <v>1150</v>
      </c>
      <c r="E53" t="s">
        <v>1764</v>
      </c>
      <c r="F53" t="s">
        <v>1050</v>
      </c>
      <c r="G53" s="37" t="s">
        <v>45</v>
      </c>
      <c r="H53" s="37" t="s">
        <v>1784</v>
      </c>
      <c r="I53" s="132" t="s">
        <v>1739</v>
      </c>
      <c r="J53" s="108">
        <v>671</v>
      </c>
      <c r="K53" s="2">
        <f>1543/2</f>
        <v>771.5</v>
      </c>
      <c r="L53" s="108">
        <f>KeyChips!M$13</f>
        <v>2000</v>
      </c>
      <c r="M53" s="2">
        <f>K53/KeyChips!J$13</f>
        <v>9.6437500000000007</v>
      </c>
      <c r="N53" s="108">
        <f>M53*KeyChips!W$13</f>
        <v>29181.987500000003</v>
      </c>
      <c r="O53" s="2">
        <f>M53*KeyChips!T$13*O$3</f>
        <v>6794.4602272727288</v>
      </c>
      <c r="P53" s="129">
        <f>N53/O53</f>
        <v>4.2949677419354835</v>
      </c>
      <c r="Q53" s="401">
        <f>M53*KeyChips!P$13*Q3</f>
        <v>605222.46250000002</v>
      </c>
      <c r="R53" s="34">
        <v>2048</v>
      </c>
      <c r="S53" s="401">
        <f>R53*KeyChips!P$13*Q$3/AF$2</f>
        <v>128.52838399999999</v>
      </c>
      <c r="T53" s="108">
        <v>128000</v>
      </c>
      <c r="U53" s="34">
        <v>14800</v>
      </c>
      <c r="V53" s="108">
        <f t="shared" si="17"/>
        <v>59200</v>
      </c>
      <c r="W53" s="34" t="str">
        <f>W17</f>
        <v>1000-2000?</v>
      </c>
      <c r="X53" s="409" t="s">
        <v>1766</v>
      </c>
      <c r="Y53" s="34" t="s">
        <v>45</v>
      </c>
      <c r="Z53" s="108">
        <f>2.788*60*60*KeyChips!W$13</f>
        <v>30371356.799999997</v>
      </c>
      <c r="AA53" s="437">
        <f>2.788*AC1</f>
        <v>5.5759999999999996</v>
      </c>
      <c r="AB53" s="160">
        <f>((Z53*AF$2)/(R53*KeyChips!W$13))/(60*60*24)</f>
        <v>56.722005208333321</v>
      </c>
      <c r="AC53">
        <f t="shared" si="2"/>
        <v>45</v>
      </c>
    </row>
    <row r="54" spans="2:34" x14ac:dyDescent="0.35">
      <c r="B54">
        <f t="shared" si="0"/>
        <v>46</v>
      </c>
      <c r="C54" s="23" t="s">
        <v>1827</v>
      </c>
      <c r="D54" s="7" t="s">
        <v>1426</v>
      </c>
      <c r="E54" t="s">
        <v>1822</v>
      </c>
      <c r="F54" t="s">
        <v>1050</v>
      </c>
      <c r="G54" s="37" t="s">
        <v>45</v>
      </c>
      <c r="H54" s="552" t="s">
        <v>1823</v>
      </c>
      <c r="I54" s="132" t="s">
        <v>1739</v>
      </c>
      <c r="J54" s="108">
        <v>671</v>
      </c>
      <c r="K54" s="2">
        <f>1543/2</f>
        <v>771.5</v>
      </c>
      <c r="L54" s="108">
        <f>KeyChips!M$13</f>
        <v>2000</v>
      </c>
      <c r="M54" s="2">
        <f>K54/KeyChips!J$13</f>
        <v>9.6437500000000007</v>
      </c>
      <c r="N54" s="108">
        <f>M54*KeyChips!W$13</f>
        <v>29181.987500000003</v>
      </c>
      <c r="O54" s="2">
        <f>M54*KeyChips!T$13*O$3</f>
        <v>6794.4602272727288</v>
      </c>
      <c r="P54" s="129">
        <f>N54/O54</f>
        <v>4.2949677419354835</v>
      </c>
      <c r="Q54" s="401">
        <f>M54*KeyChips!P$13*Q3</f>
        <v>605222.46250000002</v>
      </c>
      <c r="R54" s="34">
        <v>2048</v>
      </c>
      <c r="S54" s="401">
        <f>R54*KeyChips!P$13*Q$3/AF$2</f>
        <v>128.52838399999999</v>
      </c>
      <c r="T54" s="108">
        <v>128000</v>
      </c>
      <c r="U54" s="34">
        <v>14800</v>
      </c>
      <c r="V54" s="108">
        <f t="shared" si="17"/>
        <v>59200</v>
      </c>
      <c r="W54" s="34" t="str">
        <f>W19</f>
        <v>1000-2000?</v>
      </c>
      <c r="X54" s="409" t="s">
        <v>1766</v>
      </c>
      <c r="Y54" s="34" t="s">
        <v>45</v>
      </c>
      <c r="Z54" s="108">
        <f>2.664*60*60*KeyChips!W$13</f>
        <v>29020550.399999999</v>
      </c>
      <c r="AA54" s="437">
        <f>2.664*AC1</f>
        <v>5.3280000000000003</v>
      </c>
      <c r="AB54" s="160">
        <f>((Z54*AF$2)/(R54*KeyChips!W$13))/(60*60*24)</f>
        <v>54.19921875</v>
      </c>
      <c r="AC54">
        <f t="shared" si="2"/>
        <v>46</v>
      </c>
      <c r="AH54" s="14"/>
    </row>
    <row r="55" spans="2:34" x14ac:dyDescent="0.35">
      <c r="B55">
        <f t="shared" si="0"/>
        <v>47</v>
      </c>
      <c r="C55" s="23" t="s">
        <v>1828</v>
      </c>
      <c r="D55" s="7" t="s">
        <v>1426</v>
      </c>
      <c r="E55" t="s">
        <v>1829</v>
      </c>
      <c r="F55" t="s">
        <v>1050</v>
      </c>
      <c r="G55" s="37" t="s">
        <v>2399</v>
      </c>
      <c r="H55" s="37" t="s">
        <v>1788</v>
      </c>
      <c r="I55" s="132" t="s">
        <v>1739</v>
      </c>
      <c r="J55" s="108">
        <v>70</v>
      </c>
      <c r="K55" s="2">
        <f>154/2</f>
        <v>77</v>
      </c>
      <c r="L55" s="108">
        <f>KeyChips!M$13</f>
        <v>2000</v>
      </c>
      <c r="M55" s="119">
        <f>K55/KeyChips!J$13</f>
        <v>0.96250000000000002</v>
      </c>
      <c r="N55" s="108">
        <f>M55*KeyChips!W$13</f>
        <v>2912.5250000000001</v>
      </c>
      <c r="O55" s="2">
        <f>M55*KeyChips!T$13*O$3</f>
        <v>678.125</v>
      </c>
      <c r="P55" s="129">
        <f>N55/O55</f>
        <v>4.2949677419354844</v>
      </c>
      <c r="Q55" s="401">
        <f>1*KeyChips!P$13</f>
        <v>31379</v>
      </c>
      <c r="R55" s="34">
        <v>2048</v>
      </c>
      <c r="S55" s="401">
        <f>R55*KeyChips!P$13*Q$3/AF$2</f>
        <v>128.52838399999999</v>
      </c>
      <c r="T55" s="108">
        <v>128000</v>
      </c>
      <c r="U55" s="34" t="s">
        <v>45</v>
      </c>
      <c r="V55" s="108" t="s">
        <v>45</v>
      </c>
      <c r="W55" s="34" t="str">
        <f>W29</f>
        <v>200-400</v>
      </c>
      <c r="X55" s="108" t="s">
        <v>619</v>
      </c>
      <c r="Y55" s="34" t="s">
        <v>45</v>
      </c>
      <c r="Z55" s="108" t="s">
        <v>45</v>
      </c>
      <c r="AA55" s="437" t="s">
        <v>45</v>
      </c>
      <c r="AB55" s="289" t="s">
        <v>45</v>
      </c>
      <c r="AC55">
        <f t="shared" si="2"/>
        <v>47</v>
      </c>
      <c r="AD55" t="s">
        <v>1830</v>
      </c>
      <c r="AE55" t="s">
        <v>45</v>
      </c>
      <c r="AF55" s="14"/>
    </row>
    <row r="56" spans="2:34" x14ac:dyDescent="0.35">
      <c r="B56">
        <f t="shared" si="0"/>
        <v>48</v>
      </c>
      <c r="C56" s="23" t="s">
        <v>2395</v>
      </c>
      <c r="D56" s="7" t="s">
        <v>2397</v>
      </c>
      <c r="E56" t="s">
        <v>2398</v>
      </c>
      <c r="F56" t="s">
        <v>1050</v>
      </c>
      <c r="G56" s="37" t="s">
        <v>1767</v>
      </c>
      <c r="H56" s="37" t="s">
        <v>2400</v>
      </c>
      <c r="I56" s="132" t="s">
        <v>1739</v>
      </c>
      <c r="J56" s="108">
        <v>72</v>
      </c>
      <c r="K56" s="2">
        <f>J56*J$176</f>
        <v>43.199999999999996</v>
      </c>
      <c r="L56" s="108">
        <f>KeyChips!M$13</f>
        <v>2000</v>
      </c>
      <c r="M56" s="119">
        <f>K56/KeyChips!J$13</f>
        <v>0.53999999999999992</v>
      </c>
      <c r="N56" s="108">
        <f>M56*KeyChips!W$13</f>
        <v>1634.0399999999997</v>
      </c>
      <c r="O56" s="2">
        <f>M56*KeyChips!T$13*O$3</f>
        <v>380.45454545454544</v>
      </c>
      <c r="P56" s="129">
        <f t="shared" ref="P56:P57" si="19">N56/O56</f>
        <v>4.2949677419354835</v>
      </c>
      <c r="Q56" s="401">
        <f>1*KeyChips!P$13</f>
        <v>31379</v>
      </c>
      <c r="R56" s="34"/>
      <c r="S56" s="401"/>
      <c r="T56" s="108">
        <v>32768</v>
      </c>
      <c r="U56" s="34">
        <v>17000</v>
      </c>
      <c r="V56" s="108">
        <f>U56*K$202</f>
        <v>68000</v>
      </c>
      <c r="W56" s="34"/>
      <c r="X56" s="108"/>
      <c r="Y56" s="34"/>
      <c r="Z56" s="108"/>
      <c r="AA56" s="437"/>
      <c r="AB56" s="289"/>
      <c r="AC56">
        <f t="shared" si="2"/>
        <v>48</v>
      </c>
      <c r="AF56" s="14"/>
    </row>
    <row r="57" spans="2:34" x14ac:dyDescent="0.35">
      <c r="B57">
        <f t="shared" si="0"/>
        <v>49</v>
      </c>
      <c r="C57" s="23" t="s">
        <v>2508</v>
      </c>
      <c r="D57" s="7" t="s">
        <v>2507</v>
      </c>
      <c r="E57" t="s">
        <v>2509</v>
      </c>
      <c r="F57" t="s">
        <v>1050</v>
      </c>
      <c r="G57" s="37" t="s">
        <v>1767</v>
      </c>
      <c r="H57" s="37"/>
      <c r="I57" s="132" t="s">
        <v>1739</v>
      </c>
      <c r="J57" s="129">
        <v>32.5</v>
      </c>
      <c r="K57" s="2">
        <f>J57*J$176</f>
        <v>19.5</v>
      </c>
      <c r="L57" s="108">
        <f>KeyChips!M$13</f>
        <v>2000</v>
      </c>
      <c r="M57" s="119">
        <f>K57/KeyChips!J$13</f>
        <v>0.24374999999999999</v>
      </c>
      <c r="N57" s="108">
        <f>M57*KeyChips!W$13</f>
        <v>737.58749999999998</v>
      </c>
      <c r="O57" s="2">
        <f>M57*KeyChips!T$13*O$3</f>
        <v>171.73295454545456</v>
      </c>
      <c r="P57" s="129">
        <f t="shared" si="19"/>
        <v>4.2949677419354835</v>
      </c>
      <c r="Q57" s="401">
        <f>1*KeyChips!P$13</f>
        <v>31379</v>
      </c>
      <c r="R57" s="34"/>
      <c r="S57" s="401"/>
      <c r="T57" s="108">
        <v>32768</v>
      </c>
      <c r="U57" s="34"/>
      <c r="V57" s="108"/>
      <c r="W57" s="34"/>
      <c r="X57" s="108"/>
      <c r="Y57" s="34">
        <v>64</v>
      </c>
      <c r="Z57" s="108">
        <v>3510000</v>
      </c>
      <c r="AA57" s="437"/>
      <c r="AB57" s="289"/>
      <c r="AC57">
        <f t="shared" si="2"/>
        <v>49</v>
      </c>
      <c r="AF57" s="14"/>
    </row>
    <row r="58" spans="2:34" x14ac:dyDescent="0.35">
      <c r="B58">
        <f t="shared" si="0"/>
        <v>50</v>
      </c>
      <c r="C58" s="23" t="s">
        <v>2718</v>
      </c>
      <c r="D58" s="7" t="s">
        <v>2507</v>
      </c>
      <c r="E58" t="s">
        <v>2721</v>
      </c>
      <c r="G58" s="37"/>
      <c r="H58" s="37" t="s">
        <v>2715</v>
      </c>
      <c r="I58" s="132" t="s">
        <v>1739</v>
      </c>
      <c r="J58" s="129"/>
      <c r="K58" s="2"/>
      <c r="L58" s="108"/>
      <c r="M58" s="119"/>
      <c r="N58" s="108"/>
      <c r="O58" s="2"/>
      <c r="P58" s="129"/>
      <c r="Q58" s="401"/>
      <c r="R58" s="34"/>
      <c r="S58" s="401"/>
      <c r="T58" s="108"/>
      <c r="U58" s="34"/>
      <c r="V58" s="108"/>
      <c r="W58" s="34"/>
      <c r="X58" s="108"/>
      <c r="Y58" s="34"/>
      <c r="Z58" s="108"/>
      <c r="AA58" s="437"/>
      <c r="AB58" s="289"/>
      <c r="AC58">
        <f t="shared" si="2"/>
        <v>50</v>
      </c>
      <c r="AF58" s="14"/>
    </row>
    <row r="59" spans="2:34" x14ac:dyDescent="0.35">
      <c r="B59">
        <f t="shared" si="0"/>
        <v>51</v>
      </c>
      <c r="C59" s="23" t="s">
        <v>2719</v>
      </c>
      <c r="D59" s="7" t="s">
        <v>2507</v>
      </c>
      <c r="E59" t="s">
        <v>2720</v>
      </c>
      <c r="F59" t="s">
        <v>2722</v>
      </c>
      <c r="G59" s="37"/>
      <c r="H59" s="37" t="s">
        <v>2716</v>
      </c>
      <c r="I59" s="132" t="s">
        <v>1739</v>
      </c>
      <c r="J59" s="129"/>
      <c r="K59" s="2"/>
      <c r="L59" s="108"/>
      <c r="M59" s="119"/>
      <c r="N59" s="108"/>
      <c r="O59" s="2"/>
      <c r="P59" s="129"/>
      <c r="Q59" s="401"/>
      <c r="R59" s="34"/>
      <c r="S59" s="401"/>
      <c r="T59" s="108"/>
      <c r="U59" s="34"/>
      <c r="V59" s="108"/>
      <c r="W59" s="34"/>
      <c r="X59" s="108"/>
      <c r="Y59" s="34"/>
      <c r="Z59" s="108"/>
      <c r="AA59" s="437"/>
      <c r="AB59" s="289"/>
      <c r="AC59">
        <f t="shared" si="2"/>
        <v>51</v>
      </c>
      <c r="AF59" s="14"/>
    </row>
    <row r="60" spans="2:34" ht="15" thickBot="1" x14ac:dyDescent="0.4">
      <c r="B60">
        <f t="shared" si="0"/>
        <v>52</v>
      </c>
      <c r="C60" s="23" t="s">
        <v>756</v>
      </c>
      <c r="D60" s="7">
        <v>2024</v>
      </c>
      <c r="E60" t="s">
        <v>835</v>
      </c>
      <c r="F60" t="s">
        <v>1050</v>
      </c>
      <c r="G60" s="37" t="s">
        <v>170</v>
      </c>
      <c r="H60" s="37" t="s">
        <v>45</v>
      </c>
      <c r="I60" s="132" t="s">
        <v>375</v>
      </c>
      <c r="J60" s="108">
        <v>340</v>
      </c>
      <c r="K60" s="2">
        <f>8*KeyChips!J12</f>
        <v>640</v>
      </c>
      <c r="L60" s="108">
        <f>KeyChips!M12</f>
        <v>3350</v>
      </c>
      <c r="M60" s="2">
        <f>K60/KeyChips!J$12</f>
        <v>8</v>
      </c>
      <c r="N60" s="108">
        <f>M60*KeyChips!W12</f>
        <v>31664</v>
      </c>
      <c r="O60" s="2">
        <f>M60*KeyChips!T$12*O$3</f>
        <v>11272.727272727274</v>
      </c>
      <c r="P60" s="129">
        <f>N60/O60</f>
        <v>2.8089032258064512</v>
      </c>
      <c r="Q60" s="401">
        <f>M60*KeyChips!P$12*Q3</f>
        <v>528000</v>
      </c>
      <c r="R60" s="34">
        <f>8*768</f>
        <v>6144</v>
      </c>
      <c r="S60" s="401" t="s">
        <v>45</v>
      </c>
      <c r="T60" s="108">
        <v>4000</v>
      </c>
      <c r="U60" s="34">
        <f>8000+1000</f>
        <v>9000</v>
      </c>
      <c r="V60" s="108">
        <f>U60*K$202</f>
        <v>36000</v>
      </c>
      <c r="W60" s="34" t="str">
        <f>W16</f>
        <v>1000-2000?</v>
      </c>
      <c r="X60" s="108" t="s">
        <v>45</v>
      </c>
      <c r="Y60" s="34" t="s">
        <v>45</v>
      </c>
      <c r="Z60" s="108">
        <f>18*(AF8/AF6)</f>
        <v>18000000</v>
      </c>
      <c r="AA60" s="437">
        <f>AC$3*((Z60/(KeyChips!W$12*60*60)))</f>
        <v>7.5795856493178366</v>
      </c>
      <c r="AB60" s="160">
        <f>((Z60*AF$2)/(R60*KeyChips!W$12))/(60*60*24)</f>
        <v>8.5670591558587379</v>
      </c>
      <c r="AC60">
        <f t="shared" si="2"/>
        <v>52</v>
      </c>
    </row>
    <row r="61" spans="2:34" ht="21.5" thickTop="1" x14ac:dyDescent="0.5">
      <c r="B61">
        <f t="shared" si="0"/>
        <v>53</v>
      </c>
      <c r="C61" s="702" t="s">
        <v>2858</v>
      </c>
      <c r="D61" s="470"/>
      <c r="E61" s="461"/>
      <c r="F61" s="461"/>
      <c r="G61" s="458"/>
      <c r="H61" s="458"/>
      <c r="I61" s="458"/>
      <c r="J61" s="463"/>
      <c r="K61" s="462"/>
      <c r="L61" s="463"/>
      <c r="M61" s="463"/>
      <c r="N61" s="463"/>
      <c r="O61" s="462"/>
      <c r="P61" s="474"/>
      <c r="Q61" s="471"/>
      <c r="R61" s="463"/>
      <c r="S61" s="471"/>
      <c r="T61" s="463"/>
      <c r="U61" s="463"/>
      <c r="V61" s="463"/>
      <c r="W61" s="463"/>
      <c r="X61" s="463"/>
      <c r="Y61" s="463"/>
      <c r="Z61" s="463"/>
      <c r="AA61" s="555"/>
      <c r="AB61" s="564"/>
      <c r="AC61">
        <f t="shared" si="2"/>
        <v>53</v>
      </c>
    </row>
    <row r="62" spans="2:34" x14ac:dyDescent="0.35">
      <c r="B62">
        <f t="shared" si="0"/>
        <v>54</v>
      </c>
      <c r="C62" s="23" t="s">
        <v>1333</v>
      </c>
      <c r="D62" s="7">
        <v>2012</v>
      </c>
      <c r="E62" t="s">
        <v>1824</v>
      </c>
      <c r="F62" t="s">
        <v>1047</v>
      </c>
      <c r="G62" s="37" t="s">
        <v>170</v>
      </c>
      <c r="H62" s="37" t="s">
        <v>45</v>
      </c>
      <c r="I62" s="37" t="s">
        <v>1561</v>
      </c>
      <c r="J62" s="450">
        <v>0.06</v>
      </c>
      <c r="K62" s="83">
        <v>6</v>
      </c>
      <c r="L62" s="108" t="s">
        <v>45</v>
      </c>
      <c r="M62" s="34">
        <v>2</v>
      </c>
      <c r="N62" s="108">
        <f>2*1.581</f>
        <v>3.1619999999999999</v>
      </c>
      <c r="O62" s="34" t="s">
        <v>45</v>
      </c>
      <c r="P62" s="108" t="s">
        <v>45</v>
      </c>
      <c r="Q62" s="401">
        <f>500*2</f>
        <v>1000</v>
      </c>
      <c r="R62" s="34" t="s">
        <v>45</v>
      </c>
      <c r="S62" s="34" t="s">
        <v>45</v>
      </c>
      <c r="T62" s="108" t="s">
        <v>45</v>
      </c>
      <c r="U62" s="34" t="s">
        <v>1334</v>
      </c>
      <c r="V62" s="108" t="s">
        <v>45</v>
      </c>
      <c r="W62" s="34" t="s">
        <v>45</v>
      </c>
      <c r="X62" s="108" t="s">
        <v>45</v>
      </c>
      <c r="Y62" s="34">
        <v>8</v>
      </c>
      <c r="Z62" s="453">
        <f>470*(AF5/AF6)</f>
        <v>0.47000000000000003</v>
      </c>
      <c r="AA62" s="437" t="s">
        <v>45</v>
      </c>
      <c r="AB62" s="289" t="s">
        <v>45</v>
      </c>
      <c r="AC62">
        <f t="shared" si="2"/>
        <v>54</v>
      </c>
    </row>
    <row r="63" spans="2:34" x14ac:dyDescent="0.35">
      <c r="B63">
        <f t="shared" si="0"/>
        <v>55</v>
      </c>
      <c r="C63" s="23" t="s">
        <v>468</v>
      </c>
      <c r="D63" s="7" t="s">
        <v>653</v>
      </c>
      <c r="E63" t="s">
        <v>1560</v>
      </c>
      <c r="F63" t="s">
        <v>1047</v>
      </c>
      <c r="G63" s="37" t="s">
        <v>473</v>
      </c>
      <c r="H63" s="37" t="s">
        <v>45</v>
      </c>
      <c r="I63" s="132" t="s">
        <v>1565</v>
      </c>
      <c r="J63" s="129">
        <f>0.86+0.123</f>
        <v>0.98299999999999998</v>
      </c>
      <c r="K63" s="83">
        <f>J63*KeyChips!S$106</f>
        <v>24</v>
      </c>
      <c r="L63" s="108">
        <f>KeyChips!M$11</f>
        <v>1555</v>
      </c>
      <c r="M63" s="83">
        <f>K63/KeyChips!J$11</f>
        <v>0.6</v>
      </c>
      <c r="N63" s="108">
        <f>M63*KeyChips!W$11</f>
        <v>187.2</v>
      </c>
      <c r="O63" s="2">
        <f>M63*KeyChips!T$11*O$3</f>
        <v>289.87012987012986</v>
      </c>
      <c r="P63" s="129">
        <f t="shared" ref="P63:P82" si="20">N63/O63</f>
        <v>0.64580645161290318</v>
      </c>
      <c r="Q63" s="401">
        <f>1*KeyChips!P11</f>
        <v>6000</v>
      </c>
      <c r="R63" s="34">
        <v>256</v>
      </c>
      <c r="S63" s="437">
        <f>R63*KeyChips!P$11*Q3/AF$2</f>
        <v>3.0720000000000001</v>
      </c>
      <c r="T63" s="108" t="s">
        <v>45</v>
      </c>
      <c r="U63" s="34" t="s">
        <v>639</v>
      </c>
      <c r="V63" s="108">
        <v>345</v>
      </c>
      <c r="W63" s="34" t="str">
        <f t="shared" si="14"/>
        <v>200-400</v>
      </c>
      <c r="X63" s="108" t="s">
        <v>45</v>
      </c>
      <c r="Y63" s="34" t="s">
        <v>45</v>
      </c>
      <c r="Z63" s="108">
        <f>50*(AF7/AF6)</f>
        <v>50000</v>
      </c>
      <c r="AA63" s="408">
        <v>0.6</v>
      </c>
      <c r="AB63" s="160">
        <f>((Z63*AF$2)/(R63*KeyChips!W11))/(60*60*24)</f>
        <v>7.245388918566003</v>
      </c>
      <c r="AC63">
        <f t="shared" si="2"/>
        <v>55</v>
      </c>
    </row>
    <row r="64" spans="2:34" x14ac:dyDescent="0.35">
      <c r="B64">
        <f t="shared" si="0"/>
        <v>56</v>
      </c>
      <c r="C64" s="23" t="s">
        <v>992</v>
      </c>
      <c r="D64" s="7" t="s">
        <v>654</v>
      </c>
      <c r="E64" t="s">
        <v>1560</v>
      </c>
      <c r="F64" t="s">
        <v>1047</v>
      </c>
      <c r="G64" s="37" t="s">
        <v>473</v>
      </c>
      <c r="H64" s="37" t="s">
        <v>45</v>
      </c>
      <c r="I64" s="132" t="s">
        <v>1565</v>
      </c>
      <c r="J64" s="129">
        <v>2.2999999999999998</v>
      </c>
      <c r="K64" s="83">
        <f>J64*KeyChips!S$106</f>
        <v>56.154628687690746</v>
      </c>
      <c r="L64" s="108">
        <f>KeyChips!M$11</f>
        <v>1555</v>
      </c>
      <c r="M64" s="83">
        <f>K64/KeyChips!J$11</f>
        <v>1.4038657171922686</v>
      </c>
      <c r="N64" s="108">
        <f>M64*KeyChips!W$11</f>
        <v>438.00610376398782</v>
      </c>
      <c r="O64" s="2">
        <f>M64*KeyChips!T$11*O$3</f>
        <v>678.23122960457658</v>
      </c>
      <c r="P64" s="129">
        <f>N64/O64</f>
        <v>0.64580645161290318</v>
      </c>
      <c r="Q64" s="401">
        <f>M64*KeyChips!P$11*Q3</f>
        <v>16846.388606307224</v>
      </c>
      <c r="R64" s="34">
        <v>4000</v>
      </c>
      <c r="S64" s="437">
        <f>R64*KeyChips!P$11*Q3/AF$2</f>
        <v>48</v>
      </c>
      <c r="T64" s="108" t="s">
        <v>45</v>
      </c>
      <c r="U64" s="34" t="str">
        <f>U63</f>
        <v>2.3B images</v>
      </c>
      <c r="V64" s="108">
        <f>V63</f>
        <v>345</v>
      </c>
      <c r="W64" s="34" t="str">
        <f t="shared" si="14"/>
        <v>200-400</v>
      </c>
      <c r="X64" s="108" t="s">
        <v>45</v>
      </c>
      <c r="Y64" s="34" t="s">
        <v>45</v>
      </c>
      <c r="Z64" s="108" t="s">
        <v>45</v>
      </c>
      <c r="AA64" s="437" t="s">
        <v>45</v>
      </c>
      <c r="AB64" s="289" t="s">
        <v>45</v>
      </c>
      <c r="AC64">
        <f t="shared" si="2"/>
        <v>56</v>
      </c>
    </row>
    <row r="65" spans="1:34" x14ac:dyDescent="0.35">
      <c r="B65">
        <f t="shared" si="0"/>
        <v>57</v>
      </c>
      <c r="C65" s="23" t="s">
        <v>1481</v>
      </c>
      <c r="D65" s="7" t="s">
        <v>1247</v>
      </c>
      <c r="E65" t="s">
        <v>1560</v>
      </c>
      <c r="F65" t="s">
        <v>1050</v>
      </c>
      <c r="G65" s="37" t="s">
        <v>1482</v>
      </c>
      <c r="H65" s="37" t="s">
        <v>45</v>
      </c>
      <c r="I65" s="132" t="s">
        <v>375</v>
      </c>
      <c r="J65" s="129">
        <v>12</v>
      </c>
      <c r="K65" s="83">
        <v>38</v>
      </c>
      <c r="L65" s="108">
        <f>KeyChips!M$12</f>
        <v>3350</v>
      </c>
      <c r="M65" s="83">
        <f>K65/KeyChips!J$12</f>
        <v>0.47499999999999998</v>
      </c>
      <c r="N65" s="108">
        <f>M65*KeyChips!W$12</f>
        <v>1880.05</v>
      </c>
      <c r="O65" s="2">
        <f>M65*KeyChips!T$12*O$3</f>
        <v>669.31818181818187</v>
      </c>
      <c r="P65" s="129">
        <f>N65/O65</f>
        <v>2.8089032258064512</v>
      </c>
      <c r="Q65" s="401">
        <f>1*KeyChips!P$12</f>
        <v>33000</v>
      </c>
      <c r="R65" s="34" t="s">
        <v>45</v>
      </c>
      <c r="S65" s="34" t="s">
        <v>45</v>
      </c>
      <c r="T65" s="108" t="s">
        <v>45</v>
      </c>
      <c r="U65" s="34" t="s">
        <v>45</v>
      </c>
      <c r="V65" s="108" t="s">
        <v>45</v>
      </c>
      <c r="W65" s="34" t="str">
        <f t="shared" si="14"/>
        <v>200-400</v>
      </c>
      <c r="X65" s="108" t="s">
        <v>45</v>
      </c>
      <c r="Y65" s="34" t="s">
        <v>45</v>
      </c>
      <c r="Z65" s="108" t="s">
        <v>45</v>
      </c>
      <c r="AA65" s="437" t="s">
        <v>45</v>
      </c>
      <c r="AB65" s="289" t="s">
        <v>45</v>
      </c>
      <c r="AC65">
        <f t="shared" si="2"/>
        <v>57</v>
      </c>
    </row>
    <row r="66" spans="1:34" x14ac:dyDescent="0.35">
      <c r="B66">
        <f t="shared" si="0"/>
        <v>58</v>
      </c>
      <c r="C66" s="23" t="s">
        <v>1032</v>
      </c>
      <c r="D66" s="7" t="s">
        <v>1033</v>
      </c>
      <c r="E66" t="s">
        <v>1560</v>
      </c>
      <c r="F66" t="s">
        <v>1047</v>
      </c>
      <c r="G66" s="37" t="s">
        <v>1035</v>
      </c>
      <c r="H66" s="37" t="s">
        <v>45</v>
      </c>
      <c r="I66" s="132" t="s">
        <v>375</v>
      </c>
      <c r="J66" s="129">
        <f>J64</f>
        <v>2.2999999999999998</v>
      </c>
      <c r="K66" s="83">
        <f>J66*KeyChips!S$106</f>
        <v>56.154628687690746</v>
      </c>
      <c r="L66" s="108">
        <f>KeyChips!M12</f>
        <v>3350</v>
      </c>
      <c r="M66" s="83">
        <f>K66/KeyChips!J$12</f>
        <v>0.7019328585961343</v>
      </c>
      <c r="N66" s="108">
        <f>M66*KeyChips!W$12</f>
        <v>2778.2502543234996</v>
      </c>
      <c r="O66" s="2">
        <f>M66*KeyChips!T$12*O$3</f>
        <v>989.0872098400074</v>
      </c>
      <c r="P66" s="129">
        <f t="shared" si="20"/>
        <v>2.8089032258064517</v>
      </c>
      <c r="Q66" s="401">
        <f>1*KeyChips!P$12</f>
        <v>33000</v>
      </c>
      <c r="R66" s="34" t="s">
        <v>45</v>
      </c>
      <c r="S66" s="34" t="s">
        <v>45</v>
      </c>
      <c r="T66" s="108" t="s">
        <v>45</v>
      </c>
      <c r="U66" s="34" t="str">
        <f>U64</f>
        <v>2.3B images</v>
      </c>
      <c r="V66" s="108">
        <f>V63</f>
        <v>345</v>
      </c>
      <c r="W66" s="34" t="str">
        <f t="shared" si="14"/>
        <v>200-400</v>
      </c>
      <c r="X66" s="108" t="s">
        <v>45</v>
      </c>
      <c r="Y66" s="34" t="s">
        <v>45</v>
      </c>
      <c r="Z66" s="108" t="s">
        <v>45</v>
      </c>
      <c r="AA66" s="437" t="s">
        <v>45</v>
      </c>
      <c r="AB66" s="289" t="s">
        <v>45</v>
      </c>
      <c r="AC66">
        <f t="shared" si="2"/>
        <v>58</v>
      </c>
    </row>
    <row r="67" spans="1:34" ht="15" thickBot="1" x14ac:dyDescent="0.4">
      <c r="B67">
        <f t="shared" si="0"/>
        <v>59</v>
      </c>
      <c r="C67" s="23" t="s">
        <v>466</v>
      </c>
      <c r="D67" s="7">
        <v>2022</v>
      </c>
      <c r="E67" t="s">
        <v>1560</v>
      </c>
      <c r="F67" t="s">
        <v>1047</v>
      </c>
      <c r="G67" s="37" t="s">
        <v>246</v>
      </c>
      <c r="H67" s="37" t="s">
        <v>45</v>
      </c>
      <c r="I67" s="132" t="s">
        <v>1565</v>
      </c>
      <c r="J67" s="129">
        <v>3.5</v>
      </c>
      <c r="K67" s="83">
        <f>J67*KeyChips!S$106</f>
        <v>85.452695829094608</v>
      </c>
      <c r="L67" s="108">
        <f>KeyChips!M$11</f>
        <v>1555</v>
      </c>
      <c r="M67" s="83">
        <f>K67/KeyChips!J$11</f>
        <v>2.1363173957273651</v>
      </c>
      <c r="N67" s="108">
        <f>M67*KeyChips!W$11</f>
        <v>666.53102746693787</v>
      </c>
      <c r="O67" s="2">
        <f>M67*KeyChips!T$11*O$3</f>
        <v>1032.0910015721815</v>
      </c>
      <c r="P67" s="129">
        <f t="shared" si="20"/>
        <v>0.64580645161290318</v>
      </c>
      <c r="Q67" s="401">
        <f>M67*KeyChips!P$11*Q3</f>
        <v>25635.808748728381</v>
      </c>
      <c r="R67" s="34">
        <f>R16</f>
        <v>25000</v>
      </c>
      <c r="S67" s="401">
        <f>R67*KeyChips!P$11*Q3/AF$2</f>
        <v>300</v>
      </c>
      <c r="T67" s="108" t="s">
        <v>45</v>
      </c>
      <c r="U67" s="2" t="s">
        <v>640</v>
      </c>
      <c r="V67" s="108" t="s">
        <v>45</v>
      </c>
      <c r="W67" s="34" t="str">
        <f t="shared" si="14"/>
        <v>200-400</v>
      </c>
      <c r="X67" s="108" t="s">
        <v>45</v>
      </c>
      <c r="Y67" s="34" t="s">
        <v>45</v>
      </c>
      <c r="Z67" s="108">
        <f>1*60*60*KeyChips!W$11</f>
        <v>1123200</v>
      </c>
      <c r="AA67" s="408">
        <f>1*4</f>
        <v>4</v>
      </c>
      <c r="AB67" s="160">
        <f>((Z67*AF$2)/(R67*KeyChips!W$11))/(60*60*24)</f>
        <v>1.6666666666666667</v>
      </c>
      <c r="AC67">
        <f t="shared" si="2"/>
        <v>59</v>
      </c>
      <c r="AD67" t="s">
        <v>1924</v>
      </c>
      <c r="AE67" t="s">
        <v>1472</v>
      </c>
      <c r="AF67" t="s">
        <v>1474</v>
      </c>
      <c r="AG67" t="s">
        <v>1476</v>
      </c>
    </row>
    <row r="68" spans="1:34" ht="21.5" thickTop="1" x14ac:dyDescent="0.5">
      <c r="B68">
        <f t="shared" si="0"/>
        <v>60</v>
      </c>
      <c r="C68" s="702" t="s">
        <v>2854</v>
      </c>
      <c r="D68" s="470"/>
      <c r="E68" s="461"/>
      <c r="F68" s="461"/>
      <c r="G68" s="458"/>
      <c r="H68" s="458"/>
      <c r="I68" s="458"/>
      <c r="J68" s="474"/>
      <c r="K68" s="475"/>
      <c r="L68" s="463"/>
      <c r="M68" s="475"/>
      <c r="N68" s="463"/>
      <c r="O68" s="462"/>
      <c r="P68" s="474"/>
      <c r="Q68" s="471"/>
      <c r="R68" s="463"/>
      <c r="S68" s="471"/>
      <c r="T68" s="463"/>
      <c r="U68" s="462"/>
      <c r="V68" s="463"/>
      <c r="W68" s="463"/>
      <c r="X68" s="463"/>
      <c r="Y68" s="463"/>
      <c r="Z68" s="463"/>
      <c r="AA68" s="556"/>
      <c r="AB68" s="565"/>
      <c r="AC68">
        <f t="shared" si="2"/>
        <v>60</v>
      </c>
      <c r="AE68" s="14" t="s">
        <v>1473</v>
      </c>
      <c r="AF68" s="14" t="s">
        <v>1475</v>
      </c>
    </row>
    <row r="69" spans="1:34" x14ac:dyDescent="0.35">
      <c r="B69">
        <f t="shared" si="0"/>
        <v>61</v>
      </c>
      <c r="C69" s="23" t="s">
        <v>1874</v>
      </c>
      <c r="D69" s="7" t="s">
        <v>1875</v>
      </c>
      <c r="E69" t="s">
        <v>1578</v>
      </c>
      <c r="F69" t="s">
        <v>1880</v>
      </c>
      <c r="G69" s="202" t="s">
        <v>979</v>
      </c>
      <c r="H69" s="202" t="s">
        <v>2088</v>
      </c>
      <c r="I69" s="202" t="s">
        <v>1876</v>
      </c>
      <c r="J69" s="129">
        <v>1</v>
      </c>
      <c r="K69" s="2">
        <f>KeyChips!J46</f>
        <v>32</v>
      </c>
      <c r="L69" s="108">
        <f>KeyChips!M46</f>
        <v>63.58</v>
      </c>
      <c r="M69" s="34">
        <v>1</v>
      </c>
      <c r="N69" s="128">
        <f>KeyChips!W46</f>
        <v>37</v>
      </c>
      <c r="O69" s="2">
        <f>KeyChips!T46</f>
        <v>36</v>
      </c>
      <c r="P69" s="129">
        <f t="shared" ref="P69" si="21">N69/O69</f>
        <v>1.0277777777777777</v>
      </c>
      <c r="Q69" s="401">
        <f>KeyChips!P46</f>
        <v>1200</v>
      </c>
      <c r="R69" s="34">
        <f>AI_Supercomputers!I27</f>
        <v>10000</v>
      </c>
      <c r="S69" s="401">
        <f>AI_Supercomputers!O27</f>
        <v>660</v>
      </c>
      <c r="T69" s="108" t="s">
        <v>45</v>
      </c>
      <c r="U69" s="2" t="s">
        <v>1270</v>
      </c>
      <c r="V69" s="108" t="s">
        <v>1548</v>
      </c>
      <c r="W69" s="34" t="s">
        <v>850</v>
      </c>
      <c r="X69" s="409" t="s">
        <v>2261</v>
      </c>
      <c r="Y69" s="34" t="s">
        <v>619</v>
      </c>
      <c r="Z69" s="108">
        <f>(70000*48*60*60*KeyChips!W$12)*(AF4/AF6)</f>
        <v>47875968</v>
      </c>
      <c r="AA69" s="437">
        <f>(48*70000*AC1)/AF2</f>
        <v>6.72</v>
      </c>
      <c r="AB69" s="160">
        <f>((Z69*AF$2)/(R69*KeyChips!W$12))/(60*60*24)</f>
        <v>14</v>
      </c>
      <c r="AC69">
        <f t="shared" si="2"/>
        <v>61</v>
      </c>
      <c r="AD69" t="s">
        <v>1915</v>
      </c>
      <c r="AE69" s="14" t="s">
        <v>1285</v>
      </c>
      <c r="AF69" t="s">
        <v>45</v>
      </c>
    </row>
    <row r="70" spans="1:34" x14ac:dyDescent="0.35">
      <c r="B70">
        <f t="shared" si="0"/>
        <v>62</v>
      </c>
      <c r="C70" s="23" t="s">
        <v>2437</v>
      </c>
      <c r="D70" s="7" t="s">
        <v>1879</v>
      </c>
      <c r="E70" t="s">
        <v>1578</v>
      </c>
      <c r="F70" t="s">
        <v>1881</v>
      </c>
      <c r="G70" s="202" t="s">
        <v>979</v>
      </c>
      <c r="H70" s="202" t="s">
        <v>2088</v>
      </c>
      <c r="I70" s="202" t="s">
        <v>1577</v>
      </c>
      <c r="J70" s="129">
        <f>J69*5</f>
        <v>5</v>
      </c>
      <c r="K70" s="2">
        <f>KeyChips!J47</f>
        <v>128</v>
      </c>
      <c r="L70" s="108">
        <f>KeyChips!M47</f>
        <v>204.8</v>
      </c>
      <c r="M70" s="34">
        <v>1</v>
      </c>
      <c r="N70" s="128">
        <f>KeyChips!W47</f>
        <v>185</v>
      </c>
      <c r="O70" s="2">
        <f>KeyChips!T47</f>
        <v>100</v>
      </c>
      <c r="P70" s="129">
        <f t="shared" si="20"/>
        <v>1.85</v>
      </c>
      <c r="Q70" s="401">
        <f>KeyChips!P47</f>
        <v>1800</v>
      </c>
      <c r="R70" s="34">
        <f>AI_Supercomputers!I29</f>
        <v>50000</v>
      </c>
      <c r="S70" s="401">
        <f>AI_Supercomputers!O29</f>
        <v>3300</v>
      </c>
      <c r="T70" s="108" t="s">
        <v>45</v>
      </c>
      <c r="U70" s="2" t="s">
        <v>1270</v>
      </c>
      <c r="V70" s="108" t="s">
        <v>1548</v>
      </c>
      <c r="W70" s="34" t="s">
        <v>850</v>
      </c>
      <c r="X70" s="108" t="s">
        <v>619</v>
      </c>
      <c r="Y70" s="34" t="s">
        <v>619</v>
      </c>
      <c r="Z70" s="108">
        <f>Z69*(J70/J69)</f>
        <v>239379840</v>
      </c>
      <c r="AA70" s="610">
        <f>AC$1*((Z70/(KeyChips!W$12*60*60)))</f>
        <v>33.6</v>
      </c>
      <c r="AB70" s="160">
        <f>((Z70*AF$2)/(R70*KeyChips!W$12))/(60*60*24)</f>
        <v>14</v>
      </c>
      <c r="AC70">
        <f t="shared" si="2"/>
        <v>62</v>
      </c>
      <c r="AD70" t="s">
        <v>1914</v>
      </c>
      <c r="AE70" s="14" t="s">
        <v>1285</v>
      </c>
      <c r="AF70" t="s">
        <v>45</v>
      </c>
      <c r="AG70" t="s">
        <v>303</v>
      </c>
      <c r="AH70" s="611">
        <f>AA69*5</f>
        <v>33.6</v>
      </c>
    </row>
    <row r="71" spans="1:34" x14ac:dyDescent="0.35">
      <c r="B71">
        <f t="shared" si="0"/>
        <v>63</v>
      </c>
      <c r="C71" s="23" t="s">
        <v>1579</v>
      </c>
      <c r="D71" s="7" t="s">
        <v>1247</v>
      </c>
      <c r="E71" t="s">
        <v>1251</v>
      </c>
      <c r="F71" t="s">
        <v>1255</v>
      </c>
      <c r="G71" s="202" t="s">
        <v>1445</v>
      </c>
      <c r="H71" s="202" t="s">
        <v>18</v>
      </c>
      <c r="I71" s="202" t="s">
        <v>619</v>
      </c>
      <c r="J71" s="129" t="s">
        <v>45</v>
      </c>
      <c r="K71" s="34" t="s">
        <v>45</v>
      </c>
      <c r="L71" s="108" t="s">
        <v>45</v>
      </c>
      <c r="M71" s="34" t="s">
        <v>45</v>
      </c>
      <c r="N71" s="108" t="s">
        <v>45</v>
      </c>
      <c r="O71" s="34" t="s">
        <v>45</v>
      </c>
      <c r="P71" s="129" t="s">
        <v>45</v>
      </c>
      <c r="Q71" s="401" t="s">
        <v>45</v>
      </c>
      <c r="R71" s="34" t="s">
        <v>45</v>
      </c>
      <c r="S71" s="401" t="s">
        <v>45</v>
      </c>
      <c r="T71" s="108" t="s">
        <v>45</v>
      </c>
      <c r="U71" s="2" t="s">
        <v>1270</v>
      </c>
      <c r="V71" s="108" t="s">
        <v>45</v>
      </c>
      <c r="W71" s="34" t="str">
        <f>W77</f>
        <v>&lt;2000?</v>
      </c>
      <c r="X71" s="108" t="s">
        <v>619</v>
      </c>
      <c r="Y71" s="34" t="s">
        <v>619</v>
      </c>
      <c r="Z71" s="108" t="s">
        <v>45</v>
      </c>
      <c r="AA71" s="437" t="s">
        <v>45</v>
      </c>
      <c r="AB71" s="579" t="s">
        <v>45</v>
      </c>
      <c r="AC71">
        <f t="shared" si="2"/>
        <v>63</v>
      </c>
      <c r="AE71" s="14" t="s">
        <v>1286</v>
      </c>
      <c r="AF71" t="s">
        <v>45</v>
      </c>
    </row>
    <row r="72" spans="1:34" x14ac:dyDescent="0.35">
      <c r="B72">
        <f t="shared" si="0"/>
        <v>64</v>
      </c>
      <c r="C72" s="23" t="s">
        <v>2079</v>
      </c>
      <c r="D72" s="7" t="s">
        <v>1426</v>
      </c>
      <c r="E72" t="s">
        <v>2084</v>
      </c>
      <c r="F72" t="s">
        <v>2093</v>
      </c>
      <c r="G72" s="202" t="s">
        <v>1793</v>
      </c>
      <c r="H72" s="202" t="s">
        <v>2085</v>
      </c>
      <c r="I72" s="202" t="s">
        <v>1373</v>
      </c>
      <c r="J72" s="129">
        <f>K72*(1/KeyChips!$S$106)</f>
        <v>0.65533333333333332</v>
      </c>
      <c r="K72" s="34">
        <f>KeyChips!J52</f>
        <v>16</v>
      </c>
      <c r="L72" s="108">
        <f>KeyChips!M52</f>
        <v>102</v>
      </c>
      <c r="M72" s="34">
        <v>1</v>
      </c>
      <c r="N72" s="108">
        <f>KeyChips!W52</f>
        <v>100</v>
      </c>
      <c r="O72" s="34">
        <f>KeyChips!T52</f>
        <v>25</v>
      </c>
      <c r="P72" s="129">
        <f t="shared" si="20"/>
        <v>4</v>
      </c>
      <c r="Q72" s="401">
        <f>KeyChips!P52</f>
        <v>599</v>
      </c>
      <c r="R72" s="34" t="s">
        <v>45</v>
      </c>
      <c r="S72" s="401" t="s">
        <v>45</v>
      </c>
      <c r="T72" s="108" t="s">
        <v>45</v>
      </c>
      <c r="U72" s="2" t="s">
        <v>1270</v>
      </c>
      <c r="V72" s="108" t="s">
        <v>45</v>
      </c>
      <c r="W72" s="34" t="str">
        <f>W70</f>
        <v>&lt;2000?</v>
      </c>
      <c r="X72" s="108" t="s">
        <v>619</v>
      </c>
      <c r="Y72" s="34" t="s">
        <v>619</v>
      </c>
      <c r="Z72" s="108" t="s">
        <v>45</v>
      </c>
      <c r="AA72" s="437" t="s">
        <v>45</v>
      </c>
      <c r="AB72" s="579" t="s">
        <v>45</v>
      </c>
      <c r="AC72">
        <f t="shared" si="2"/>
        <v>64</v>
      </c>
      <c r="AE72" s="14"/>
    </row>
    <row r="73" spans="1:34" x14ac:dyDescent="0.35">
      <c r="B73">
        <f t="shared" si="0"/>
        <v>65</v>
      </c>
      <c r="C73" s="23" t="s">
        <v>2092</v>
      </c>
      <c r="D73" s="7" t="s">
        <v>1426</v>
      </c>
      <c r="E73" t="s">
        <v>2084</v>
      </c>
      <c r="F73" t="s">
        <v>2093</v>
      </c>
      <c r="G73" s="202" t="s">
        <v>1793</v>
      </c>
      <c r="H73" s="202" t="s">
        <v>2085</v>
      </c>
      <c r="I73" s="202" t="s">
        <v>2094</v>
      </c>
      <c r="J73" s="129">
        <f>K73*(1/KeyChips!$S$106)</f>
        <v>2.6213333333333333</v>
      </c>
      <c r="K73" s="34">
        <f>KeyChips!J54</f>
        <v>64</v>
      </c>
      <c r="L73" s="108">
        <f>KeyChips!M54</f>
        <v>204.8</v>
      </c>
      <c r="M73" s="34">
        <v>1</v>
      </c>
      <c r="N73" s="108">
        <f>KeyChips!W54</f>
        <v>275</v>
      </c>
      <c r="O73" s="34">
        <f>KeyChips!T54</f>
        <v>60</v>
      </c>
      <c r="P73" s="129">
        <f t="shared" ref="P73" si="22">N73/O73</f>
        <v>4.583333333333333</v>
      </c>
      <c r="Q73" s="401">
        <f>KeyChips!P54</f>
        <v>1599</v>
      </c>
      <c r="R73" s="34" t="s">
        <v>45</v>
      </c>
      <c r="S73" s="401" t="s">
        <v>45</v>
      </c>
      <c r="T73" s="108" t="s">
        <v>45</v>
      </c>
      <c r="U73" s="2" t="s">
        <v>1270</v>
      </c>
      <c r="V73" s="108" t="s">
        <v>45</v>
      </c>
      <c r="W73" s="34" t="str">
        <f>W69</f>
        <v>&lt;2000?</v>
      </c>
      <c r="X73" s="108" t="s">
        <v>619</v>
      </c>
      <c r="Y73" s="34" t="s">
        <v>619</v>
      </c>
      <c r="Z73" s="108" t="s">
        <v>45</v>
      </c>
      <c r="AA73" s="437" t="s">
        <v>45</v>
      </c>
      <c r="AB73" s="579" t="s">
        <v>45</v>
      </c>
      <c r="AC73">
        <f t="shared" si="2"/>
        <v>65</v>
      </c>
      <c r="AE73" s="14"/>
    </row>
    <row r="74" spans="1:34" x14ac:dyDescent="0.35">
      <c r="B74">
        <f t="shared" ref="B74:B129" si="23">B73+1</f>
        <v>66</v>
      </c>
      <c r="C74" s="23" t="s">
        <v>2080</v>
      </c>
      <c r="D74" s="7" t="s">
        <v>1426</v>
      </c>
      <c r="E74" t="s">
        <v>2084</v>
      </c>
      <c r="F74" t="s">
        <v>2093</v>
      </c>
      <c r="G74" s="202" t="s">
        <v>1793</v>
      </c>
      <c r="H74" s="202" t="s">
        <v>2085</v>
      </c>
      <c r="I74" s="202" t="s">
        <v>2089</v>
      </c>
      <c r="J74" s="129">
        <f>K74*(1/KeyChips!$S$106)</f>
        <v>5.2426666666666666</v>
      </c>
      <c r="K74" s="34">
        <f>M74*KeyChips!J$54</f>
        <v>128</v>
      </c>
      <c r="L74" s="108">
        <f>KeyChips!M$54</f>
        <v>204.8</v>
      </c>
      <c r="M74" s="34">
        <v>2</v>
      </c>
      <c r="N74" s="108">
        <f>M74*KeyChips!W$54</f>
        <v>550</v>
      </c>
      <c r="O74" s="34">
        <f>M74*KeyChips!T$54</f>
        <v>120</v>
      </c>
      <c r="P74" s="129">
        <f>N74/O74</f>
        <v>4.583333333333333</v>
      </c>
      <c r="Q74" s="401">
        <f>2*KeyChips!P$54</f>
        <v>3198</v>
      </c>
      <c r="R74" s="34" t="s">
        <v>45</v>
      </c>
      <c r="S74" s="401" t="s">
        <v>45</v>
      </c>
      <c r="T74" s="108" t="s">
        <v>45</v>
      </c>
      <c r="U74" s="2" t="s">
        <v>1270</v>
      </c>
      <c r="V74" s="108" t="s">
        <v>45</v>
      </c>
      <c r="W74" s="34" t="str">
        <f>W70</f>
        <v>&lt;2000?</v>
      </c>
      <c r="X74" s="108" t="s">
        <v>619</v>
      </c>
      <c r="Y74" s="34" t="s">
        <v>619</v>
      </c>
      <c r="Z74" s="108" t="s">
        <v>45</v>
      </c>
      <c r="AA74" s="437" t="s">
        <v>45</v>
      </c>
      <c r="AB74" s="579" t="s">
        <v>45</v>
      </c>
      <c r="AC74">
        <f t="shared" ref="AC74:AC99" si="24">AC73+1</f>
        <v>66</v>
      </c>
      <c r="AE74" s="14"/>
    </row>
    <row r="75" spans="1:34" x14ac:dyDescent="0.35">
      <c r="B75">
        <f t="shared" si="23"/>
        <v>67</v>
      </c>
      <c r="C75" s="23" t="s">
        <v>2800</v>
      </c>
      <c r="D75" s="7" t="s">
        <v>2507</v>
      </c>
      <c r="E75" t="s">
        <v>2801</v>
      </c>
      <c r="G75" s="202" t="s">
        <v>1793</v>
      </c>
      <c r="H75" s="202" t="s">
        <v>2085</v>
      </c>
      <c r="I75" s="202" t="s">
        <v>2089</v>
      </c>
      <c r="J75" s="129">
        <f>K75*(1/KeyChips!$S$106)</f>
        <v>5.2426666666666666</v>
      </c>
      <c r="K75" s="34">
        <f>M75*KeyChips!J$54</f>
        <v>128</v>
      </c>
      <c r="L75" s="108">
        <f>KeyChips!M$54</f>
        <v>204.8</v>
      </c>
      <c r="M75" s="34">
        <v>2</v>
      </c>
      <c r="N75" s="108">
        <f>M75*KeyChips!W$54</f>
        <v>550</v>
      </c>
      <c r="O75" s="34">
        <f>M75*KeyChips!T$54</f>
        <v>120</v>
      </c>
      <c r="P75" s="129">
        <f>N75/O75</f>
        <v>4.583333333333333</v>
      </c>
      <c r="Q75" s="401">
        <f>2*KeyChips!P$54</f>
        <v>3198</v>
      </c>
      <c r="R75" s="34"/>
      <c r="S75" s="401"/>
      <c r="T75" s="108"/>
      <c r="U75" s="2"/>
      <c r="V75" s="108"/>
      <c r="W75" s="34"/>
      <c r="X75" s="108"/>
      <c r="Y75" s="34"/>
      <c r="Z75" s="108"/>
      <c r="AA75" s="437"/>
      <c r="AB75" s="579"/>
      <c r="AC75">
        <f t="shared" si="24"/>
        <v>67</v>
      </c>
      <c r="AE75" s="14"/>
    </row>
    <row r="76" spans="1:34" x14ac:dyDescent="0.35">
      <c r="B76">
        <f t="shared" si="23"/>
        <v>68</v>
      </c>
      <c r="C76" s="23" t="s">
        <v>2438</v>
      </c>
      <c r="D76" s="7" t="s">
        <v>2439</v>
      </c>
      <c r="E76" t="s">
        <v>1578</v>
      </c>
      <c r="F76" t="s">
        <v>2441</v>
      </c>
      <c r="G76" s="202" t="s">
        <v>45</v>
      </c>
      <c r="H76" s="202"/>
      <c r="I76" s="202"/>
      <c r="J76" s="129"/>
      <c r="K76" s="34"/>
      <c r="L76" s="108"/>
      <c r="M76" s="34"/>
      <c r="N76" s="108"/>
      <c r="O76" s="34"/>
      <c r="P76" s="129"/>
      <c r="Q76" s="401"/>
      <c r="R76" s="34"/>
      <c r="S76" s="401"/>
      <c r="T76" s="108"/>
      <c r="U76" s="2"/>
      <c r="V76" s="108"/>
      <c r="W76" s="34"/>
      <c r="X76" s="108"/>
      <c r="Y76" s="34"/>
      <c r="Z76" s="108"/>
      <c r="AA76" s="437"/>
      <c r="AB76" s="579"/>
      <c r="AC76">
        <f t="shared" si="24"/>
        <v>68</v>
      </c>
      <c r="AE76" s="14"/>
    </row>
    <row r="77" spans="1:34" x14ac:dyDescent="0.35">
      <c r="A77" t="s">
        <v>2840</v>
      </c>
      <c r="B77">
        <f t="shared" si="23"/>
        <v>69</v>
      </c>
      <c r="C77" s="422" t="s">
        <v>2841</v>
      </c>
      <c r="D77" s="7">
        <v>2025</v>
      </c>
      <c r="E77" t="s">
        <v>2853</v>
      </c>
      <c r="F77" t="s">
        <v>1051</v>
      </c>
      <c r="G77" s="202" t="s">
        <v>45</v>
      </c>
      <c r="H77" s="202" t="s">
        <v>18</v>
      </c>
      <c r="I77" s="202" t="s">
        <v>1256</v>
      </c>
      <c r="J77" s="129">
        <f>K77*(1/KeyChips!$S$106)</f>
        <v>2.6213333333333333</v>
      </c>
      <c r="K77" s="34">
        <f>KeyChips!J54</f>
        <v>64</v>
      </c>
      <c r="L77" s="108">
        <f>KeyChips!M54</f>
        <v>204.8</v>
      </c>
      <c r="M77" s="34">
        <v>1</v>
      </c>
      <c r="N77" s="128">
        <f>KeyChips!W54</f>
        <v>275</v>
      </c>
      <c r="O77" s="34">
        <f>KeyChips!T54</f>
        <v>60</v>
      </c>
      <c r="P77" s="129">
        <f t="shared" si="20"/>
        <v>4.583333333333333</v>
      </c>
      <c r="Q77" s="401">
        <f>KeyChips!P54</f>
        <v>1599</v>
      </c>
      <c r="R77" s="34" t="s">
        <v>45</v>
      </c>
      <c r="S77" s="401" t="s">
        <v>45</v>
      </c>
      <c r="T77" s="108" t="s">
        <v>45</v>
      </c>
      <c r="U77" s="2" t="s">
        <v>1270</v>
      </c>
      <c r="V77" s="108" t="s">
        <v>45</v>
      </c>
      <c r="W77" s="34" t="str">
        <f>W70</f>
        <v>&lt;2000?</v>
      </c>
      <c r="X77" s="108" t="s">
        <v>619</v>
      </c>
      <c r="Y77" s="34" t="s">
        <v>619</v>
      </c>
      <c r="Z77" s="108" t="s">
        <v>45</v>
      </c>
      <c r="AA77" s="437" t="s">
        <v>45</v>
      </c>
      <c r="AB77" s="579" t="s">
        <v>45</v>
      </c>
      <c r="AC77">
        <f t="shared" si="24"/>
        <v>69</v>
      </c>
      <c r="AE77" s="131" t="s">
        <v>2840</v>
      </c>
      <c r="AF77" s="14" t="s">
        <v>2839</v>
      </c>
      <c r="AG77" t="s">
        <v>45</v>
      </c>
    </row>
    <row r="78" spans="1:34" ht="15" thickBot="1" x14ac:dyDescent="0.4">
      <c r="B78">
        <f t="shared" si="23"/>
        <v>70</v>
      </c>
      <c r="C78" s="23" t="s">
        <v>2860</v>
      </c>
      <c r="D78" s="7">
        <v>2023</v>
      </c>
      <c r="E78" t="s">
        <v>2861</v>
      </c>
      <c r="G78" s="202"/>
      <c r="H78" s="202"/>
      <c r="I78" s="202"/>
      <c r="J78" s="129"/>
      <c r="K78" s="34"/>
      <c r="L78" s="108"/>
      <c r="M78" s="34"/>
      <c r="N78" s="128"/>
      <c r="O78" s="34"/>
      <c r="P78" s="129"/>
      <c r="Q78" s="401"/>
      <c r="R78" s="34"/>
      <c r="S78" s="401"/>
      <c r="T78" s="108"/>
      <c r="U78" s="2"/>
      <c r="V78" s="108"/>
      <c r="W78" s="34"/>
      <c r="X78" s="108"/>
      <c r="Y78" s="34"/>
      <c r="Z78" s="108"/>
      <c r="AA78" s="437"/>
      <c r="AB78" s="579"/>
      <c r="AC78">
        <f t="shared" si="24"/>
        <v>70</v>
      </c>
      <c r="AE78" s="131"/>
      <c r="AF78" s="14"/>
    </row>
    <row r="79" spans="1:34" s="896" customFormat="1" ht="21.5" thickTop="1" x14ac:dyDescent="0.5">
      <c r="B79">
        <f t="shared" si="23"/>
        <v>71</v>
      </c>
      <c r="C79" s="702" t="s">
        <v>2855</v>
      </c>
      <c r="D79" s="1007"/>
      <c r="E79" s="703"/>
      <c r="F79" s="703"/>
      <c r="G79" s="1008"/>
      <c r="H79" s="1008"/>
      <c r="I79" s="1008"/>
      <c r="J79" s="1009"/>
      <c r="K79" s="1010"/>
      <c r="L79" s="1010"/>
      <c r="M79" s="1010"/>
      <c r="N79" s="1011"/>
      <c r="O79" s="1010"/>
      <c r="P79" s="1009"/>
      <c r="Q79" s="1012"/>
      <c r="R79" s="1010"/>
      <c r="S79" s="1012"/>
      <c r="T79" s="1010"/>
      <c r="U79" s="1011"/>
      <c r="V79" s="1010"/>
      <c r="W79" s="1010"/>
      <c r="X79" s="1010"/>
      <c r="Y79" s="1010"/>
      <c r="Z79" s="1010"/>
      <c r="AA79" s="1013"/>
      <c r="AB79" s="1014"/>
      <c r="AC79">
        <f t="shared" si="24"/>
        <v>71</v>
      </c>
      <c r="AE79" s="1000"/>
      <c r="AF79" s="1001"/>
    </row>
    <row r="80" spans="1:34" x14ac:dyDescent="0.35">
      <c r="B80">
        <f t="shared" si="23"/>
        <v>72</v>
      </c>
      <c r="C80" s="23" t="s">
        <v>2075</v>
      </c>
      <c r="D80" s="7" t="s">
        <v>1250</v>
      </c>
      <c r="E80" t="s">
        <v>1252</v>
      </c>
      <c r="F80" t="s">
        <v>1253</v>
      </c>
      <c r="G80" s="202" t="s">
        <v>45</v>
      </c>
      <c r="H80" s="202" t="s">
        <v>18</v>
      </c>
      <c r="I80" s="202" t="str">
        <f>I70</f>
        <v>Tesla HW4/AI4</v>
      </c>
      <c r="J80" s="129">
        <f>K80*(1/KeyChips!$S$106)</f>
        <v>5.2426666666666666</v>
      </c>
      <c r="K80" s="34">
        <f>KeyChips!J47</f>
        <v>128</v>
      </c>
      <c r="L80" s="108">
        <f>KeyChips!M47</f>
        <v>204.8</v>
      </c>
      <c r="M80" s="34">
        <v>1</v>
      </c>
      <c r="N80" s="128">
        <f>KeyChips!W47</f>
        <v>185</v>
      </c>
      <c r="O80" s="34">
        <f>KeyChips!$T$47</f>
        <v>100</v>
      </c>
      <c r="P80" s="129">
        <f t="shared" si="20"/>
        <v>1.85</v>
      </c>
      <c r="Q80" s="401">
        <f>KeyChips!P47</f>
        <v>1800</v>
      </c>
      <c r="R80" s="34">
        <f>AI_Supercomputers!I29</f>
        <v>50000</v>
      </c>
      <c r="S80" s="401">
        <f>AI_Supercomputers!O29</f>
        <v>3300</v>
      </c>
      <c r="T80" s="108" t="s">
        <v>45</v>
      </c>
      <c r="U80" s="2" t="s">
        <v>1271</v>
      </c>
      <c r="V80" s="108" t="s">
        <v>45</v>
      </c>
      <c r="W80" s="34" t="s">
        <v>1269</v>
      </c>
      <c r="X80" s="108" t="s">
        <v>619</v>
      </c>
      <c r="Y80" s="34" t="s">
        <v>619</v>
      </c>
      <c r="Z80" s="108" t="s">
        <v>45</v>
      </c>
      <c r="AA80" s="437" t="s">
        <v>45</v>
      </c>
      <c r="AB80" s="579" t="s">
        <v>45</v>
      </c>
      <c r="AC80">
        <f t="shared" si="24"/>
        <v>72</v>
      </c>
      <c r="AE80" s="14" t="s">
        <v>1287</v>
      </c>
      <c r="AF80" s="14" t="s">
        <v>1288</v>
      </c>
      <c r="AG80" s="14" t="s">
        <v>1477</v>
      </c>
      <c r="AH80" t="s">
        <v>45</v>
      </c>
    </row>
    <row r="81" spans="2:33" x14ac:dyDescent="0.35">
      <c r="B81">
        <f t="shared" si="23"/>
        <v>73</v>
      </c>
      <c r="C81" s="23" t="s">
        <v>2076</v>
      </c>
      <c r="D81" s="7" t="s">
        <v>1257</v>
      </c>
      <c r="E81" t="s">
        <v>2247</v>
      </c>
      <c r="F81" t="s">
        <v>1253</v>
      </c>
      <c r="G81" s="202" t="s">
        <v>45</v>
      </c>
      <c r="H81" s="202" t="s">
        <v>18</v>
      </c>
      <c r="I81" s="202" t="s">
        <v>1734</v>
      </c>
      <c r="J81" s="129">
        <f>K81*(1/KeyChips!$S$106)</f>
        <v>2.6213333333333333</v>
      </c>
      <c r="K81" s="34">
        <f>KeyChips!J$54</f>
        <v>64</v>
      </c>
      <c r="L81" s="108">
        <f>KeyChips!M$54</f>
        <v>204.8</v>
      </c>
      <c r="M81" s="34">
        <v>1</v>
      </c>
      <c r="N81" s="128">
        <f>KeyChips!W$54</f>
        <v>275</v>
      </c>
      <c r="O81" s="34">
        <f>KeyChips!T$54</f>
        <v>60</v>
      </c>
      <c r="P81" s="129">
        <f t="shared" si="20"/>
        <v>4.583333333333333</v>
      </c>
      <c r="Q81" s="401">
        <f>KeyChips!P$54</f>
        <v>1599</v>
      </c>
      <c r="R81" s="34" t="s">
        <v>45</v>
      </c>
      <c r="S81" s="34" t="s">
        <v>45</v>
      </c>
      <c r="T81" s="108" t="s">
        <v>45</v>
      </c>
      <c r="U81" s="2" t="s">
        <v>1271</v>
      </c>
      <c r="V81" s="108" t="s">
        <v>45</v>
      </c>
      <c r="W81" s="34" t="s">
        <v>1269</v>
      </c>
      <c r="X81" s="108" t="s">
        <v>619</v>
      </c>
      <c r="Y81" s="34" t="s">
        <v>619</v>
      </c>
      <c r="Z81" s="108" t="s">
        <v>45</v>
      </c>
      <c r="AA81" s="437" t="s">
        <v>45</v>
      </c>
      <c r="AB81" s="579" t="s">
        <v>45</v>
      </c>
      <c r="AC81">
        <f t="shared" si="24"/>
        <v>73</v>
      </c>
      <c r="AE81" s="14" t="s">
        <v>1289</v>
      </c>
      <c r="AF81" s="14" t="s">
        <v>1290</v>
      </c>
      <c r="AG81" t="s">
        <v>45</v>
      </c>
    </row>
    <row r="82" spans="2:33" x14ac:dyDescent="0.35">
      <c r="B82">
        <f t="shared" si="23"/>
        <v>74</v>
      </c>
      <c r="C82" s="23" t="s">
        <v>2246</v>
      </c>
      <c r="D82" s="7" t="s">
        <v>1946</v>
      </c>
      <c r="E82" t="s">
        <v>2859</v>
      </c>
      <c r="F82" t="s">
        <v>1253</v>
      </c>
      <c r="G82" s="202" t="s">
        <v>45</v>
      </c>
      <c r="H82" s="202" t="s">
        <v>18</v>
      </c>
      <c r="I82" s="202" t="s">
        <v>2250</v>
      </c>
      <c r="J82" s="129">
        <f>7+0.08</f>
        <v>7.08</v>
      </c>
      <c r="K82" s="34">
        <f>2*KeyChips!J$54</f>
        <v>128</v>
      </c>
      <c r="L82" s="108">
        <f>KeyChips!M$54</f>
        <v>204.8</v>
      </c>
      <c r="M82" s="34">
        <v>2</v>
      </c>
      <c r="N82" s="128">
        <f>M82*KeyChips!W$54</f>
        <v>550</v>
      </c>
      <c r="O82" s="34">
        <f>M82*KeyChips!T$54</f>
        <v>120</v>
      </c>
      <c r="P82" s="129">
        <f t="shared" si="20"/>
        <v>4.583333333333333</v>
      </c>
      <c r="Q82" s="401">
        <f>M82*KeyChips!P$54</f>
        <v>3198</v>
      </c>
      <c r="R82" s="34" t="s">
        <v>45</v>
      </c>
      <c r="S82" s="34" t="s">
        <v>45</v>
      </c>
      <c r="T82" s="108" t="s">
        <v>45</v>
      </c>
      <c r="U82" s="2" t="s">
        <v>1271</v>
      </c>
      <c r="V82" s="108" t="s">
        <v>45</v>
      </c>
      <c r="W82" s="34" t="s">
        <v>1269</v>
      </c>
      <c r="X82" s="108">
        <v>2</v>
      </c>
      <c r="Y82" s="34" t="s">
        <v>619</v>
      </c>
      <c r="Z82" s="108" t="s">
        <v>45</v>
      </c>
      <c r="AA82" s="437" t="s">
        <v>45</v>
      </c>
      <c r="AB82" s="579" t="s">
        <v>45</v>
      </c>
      <c r="AC82">
        <f t="shared" si="24"/>
        <v>74</v>
      </c>
      <c r="AE82" s="14" t="s">
        <v>2251</v>
      </c>
      <c r="AF82" s="14" t="s">
        <v>45</v>
      </c>
    </row>
    <row r="83" spans="2:33" x14ac:dyDescent="0.35">
      <c r="B83">
        <f t="shared" si="23"/>
        <v>75</v>
      </c>
      <c r="C83" s="23" t="s">
        <v>2815</v>
      </c>
      <c r="D83" s="7" t="s">
        <v>1996</v>
      </c>
      <c r="E83" t="s">
        <v>2818</v>
      </c>
      <c r="F83" t="s">
        <v>1253</v>
      </c>
      <c r="G83" s="202"/>
      <c r="H83" s="202"/>
      <c r="I83" s="202"/>
      <c r="J83" s="129"/>
      <c r="K83" s="34"/>
      <c r="L83" s="108"/>
      <c r="M83" s="34"/>
      <c r="N83" s="128"/>
      <c r="O83" s="34"/>
      <c r="P83" s="129"/>
      <c r="Q83" s="401"/>
      <c r="R83" s="34"/>
      <c r="S83" s="34"/>
      <c r="T83" s="108"/>
      <c r="U83" s="2"/>
      <c r="V83" s="108"/>
      <c r="W83" s="34"/>
      <c r="X83" s="108"/>
      <c r="Y83" s="34"/>
      <c r="Z83" s="108"/>
      <c r="AA83" s="437"/>
      <c r="AB83" s="579"/>
      <c r="AC83">
        <f t="shared" si="24"/>
        <v>75</v>
      </c>
      <c r="AE83" s="14" t="s">
        <v>2817</v>
      </c>
      <c r="AF83" s="14" t="s">
        <v>45</v>
      </c>
    </row>
    <row r="84" spans="2:33" x14ac:dyDescent="0.35">
      <c r="B84">
        <f t="shared" si="23"/>
        <v>76</v>
      </c>
      <c r="C84" s="23" t="s">
        <v>2339</v>
      </c>
      <c r="D84" s="7" t="s">
        <v>1946</v>
      </c>
      <c r="E84" t="s">
        <v>2338</v>
      </c>
      <c r="F84" t="s">
        <v>1253</v>
      </c>
      <c r="G84" s="202" t="s">
        <v>45</v>
      </c>
      <c r="H84" s="202" t="s">
        <v>18</v>
      </c>
      <c r="I84" s="202" t="s">
        <v>2250</v>
      </c>
      <c r="J84" s="129">
        <f>K84*(1/KeyChips!$S$106)</f>
        <v>5.2426666666666666</v>
      </c>
      <c r="K84" s="34">
        <f>M84*KeyChips!J$54</f>
        <v>128</v>
      </c>
      <c r="L84" s="108">
        <f>KeyChips!M$54</f>
        <v>204.8</v>
      </c>
      <c r="M84" s="34">
        <v>2</v>
      </c>
      <c r="N84" s="108">
        <f>M84*KeyChips!W$54</f>
        <v>550</v>
      </c>
      <c r="O84" s="34">
        <f>M84*KeyChips!T$54</f>
        <v>120</v>
      </c>
      <c r="P84" s="129">
        <f>N84/O84</f>
        <v>4.583333333333333</v>
      </c>
      <c r="Q84" s="401">
        <f>2*KeyChips!P$54</f>
        <v>3198</v>
      </c>
      <c r="R84" s="34" t="s">
        <v>45</v>
      </c>
      <c r="S84" s="401" t="s">
        <v>45</v>
      </c>
      <c r="T84" s="108" t="s">
        <v>45</v>
      </c>
      <c r="U84" s="2" t="s">
        <v>1270</v>
      </c>
      <c r="V84" s="108" t="s">
        <v>45</v>
      </c>
      <c r="W84" s="34" t="str">
        <f>W77</f>
        <v>&lt;2000?</v>
      </c>
      <c r="X84" s="108" t="s">
        <v>619</v>
      </c>
      <c r="Y84" s="34" t="s">
        <v>619</v>
      </c>
      <c r="Z84" s="108" t="s">
        <v>45</v>
      </c>
      <c r="AA84" s="437" t="s">
        <v>45</v>
      </c>
      <c r="AB84" s="579" t="s">
        <v>45</v>
      </c>
      <c r="AC84">
        <f t="shared" si="24"/>
        <v>76</v>
      </c>
      <c r="AE84" s="14" t="s">
        <v>2335</v>
      </c>
      <c r="AF84" s="14" t="s">
        <v>3004</v>
      </c>
    </row>
    <row r="85" spans="2:33" x14ac:dyDescent="0.35">
      <c r="B85">
        <f t="shared" si="23"/>
        <v>77</v>
      </c>
      <c r="C85" s="23" t="s">
        <v>2649</v>
      </c>
      <c r="D85" s="7" t="s">
        <v>2579</v>
      </c>
      <c r="E85" t="s">
        <v>2580</v>
      </c>
      <c r="G85" s="202" t="s">
        <v>45</v>
      </c>
      <c r="H85" s="202" t="s">
        <v>45</v>
      </c>
      <c r="I85" s="202" t="s">
        <v>2583</v>
      </c>
      <c r="J85" s="129">
        <v>30</v>
      </c>
      <c r="K85" s="34"/>
      <c r="L85" s="108"/>
      <c r="M85" s="34"/>
      <c r="N85" s="108"/>
      <c r="O85" s="34"/>
      <c r="P85" s="129"/>
      <c r="Q85" s="401"/>
      <c r="R85" s="34"/>
      <c r="S85" s="401"/>
      <c r="T85" s="108"/>
      <c r="U85" s="2"/>
      <c r="V85" s="108"/>
      <c r="W85" s="34"/>
      <c r="X85" s="108"/>
      <c r="Y85" s="34"/>
      <c r="Z85" s="108"/>
      <c r="AA85" s="437"/>
      <c r="AB85" s="579"/>
      <c r="AC85">
        <f t="shared" si="24"/>
        <v>77</v>
      </c>
      <c r="AE85" s="14" t="s">
        <v>2578</v>
      </c>
      <c r="AF85" s="14" t="s">
        <v>45</v>
      </c>
    </row>
    <row r="86" spans="2:33" x14ac:dyDescent="0.35">
      <c r="B86">
        <f t="shared" si="23"/>
        <v>78</v>
      </c>
      <c r="C86" s="23" t="s">
        <v>2828</v>
      </c>
      <c r="D86" s="7" t="s">
        <v>2507</v>
      </c>
      <c r="E86" t="s">
        <v>2848</v>
      </c>
      <c r="F86" t="s">
        <v>1800</v>
      </c>
      <c r="G86" s="202" t="s">
        <v>45</v>
      </c>
      <c r="H86" s="202" t="s">
        <v>45</v>
      </c>
      <c r="I86" s="202"/>
      <c r="J86" s="129"/>
      <c r="K86" s="34"/>
      <c r="L86" s="108"/>
      <c r="M86" s="34"/>
      <c r="N86" s="108"/>
      <c r="O86" s="34"/>
      <c r="P86" s="129"/>
      <c r="Q86" s="401"/>
      <c r="R86" s="34"/>
      <c r="S86" s="401"/>
      <c r="T86" s="108"/>
      <c r="U86" s="2"/>
      <c r="V86" s="108"/>
      <c r="W86" s="34"/>
      <c r="X86" s="108"/>
      <c r="Y86" s="34"/>
      <c r="Z86" s="108"/>
      <c r="AA86" s="437"/>
      <c r="AB86" s="579"/>
      <c r="AC86">
        <f t="shared" si="24"/>
        <v>78</v>
      </c>
      <c r="AE86" s="14" t="s">
        <v>2831</v>
      </c>
      <c r="AF86" s="14" t="s">
        <v>45</v>
      </c>
    </row>
    <row r="87" spans="2:33" x14ac:dyDescent="0.35">
      <c r="B87">
        <f t="shared" si="23"/>
        <v>79</v>
      </c>
      <c r="C87" s="23" t="s">
        <v>2832</v>
      </c>
      <c r="D87" s="7" t="s">
        <v>2507</v>
      </c>
      <c r="E87" t="s">
        <v>2834</v>
      </c>
      <c r="F87" t="s">
        <v>2837</v>
      </c>
      <c r="G87" s="202" t="s">
        <v>45</v>
      </c>
      <c r="H87" s="202" t="s">
        <v>45</v>
      </c>
      <c r="I87" s="202"/>
      <c r="J87" s="129">
        <v>200</v>
      </c>
      <c r="K87" s="34"/>
      <c r="L87" s="108"/>
      <c r="M87" s="34"/>
      <c r="N87" s="108"/>
      <c r="O87" s="34"/>
      <c r="P87" s="129"/>
      <c r="Q87" s="401"/>
      <c r="R87" s="34"/>
      <c r="S87" s="401"/>
      <c r="T87" s="108"/>
      <c r="U87" s="2"/>
      <c r="V87" s="108"/>
      <c r="W87" s="34"/>
      <c r="X87" s="108"/>
      <c r="Y87" s="34"/>
      <c r="Z87" s="108"/>
      <c r="AA87" s="437"/>
      <c r="AB87" s="579"/>
      <c r="AC87">
        <f t="shared" si="24"/>
        <v>79</v>
      </c>
      <c r="AE87" s="14" t="s">
        <v>2838</v>
      </c>
      <c r="AF87" s="14" t="s">
        <v>45</v>
      </c>
    </row>
    <row r="88" spans="2:33" ht="15" thickBot="1" x14ac:dyDescent="0.4">
      <c r="B88">
        <f t="shared" si="23"/>
        <v>80</v>
      </c>
      <c r="C88" s="23" t="s">
        <v>2833</v>
      </c>
      <c r="D88" s="7" t="s">
        <v>2507</v>
      </c>
      <c r="E88" t="s">
        <v>2835</v>
      </c>
      <c r="F88" t="s">
        <v>2837</v>
      </c>
      <c r="G88" s="202" t="s">
        <v>45</v>
      </c>
      <c r="H88" s="202" t="s">
        <v>45</v>
      </c>
      <c r="I88" s="202"/>
      <c r="J88" s="129">
        <v>30</v>
      </c>
      <c r="K88" s="34"/>
      <c r="L88" s="108"/>
      <c r="M88" s="34"/>
      <c r="N88" s="108"/>
      <c r="O88" s="34"/>
      <c r="P88" s="129"/>
      <c r="Q88" s="401"/>
      <c r="R88" s="34"/>
      <c r="S88" s="401"/>
      <c r="T88" s="108"/>
      <c r="U88" s="2"/>
      <c r="V88" s="108"/>
      <c r="W88" s="34"/>
      <c r="X88" s="108"/>
      <c r="Y88" s="34"/>
      <c r="Z88" s="108"/>
      <c r="AA88" s="437"/>
      <c r="AB88" s="579"/>
      <c r="AC88">
        <f t="shared" si="24"/>
        <v>80</v>
      </c>
      <c r="AE88" s="14" t="s">
        <v>2838</v>
      </c>
      <c r="AF88" s="14" t="s">
        <v>45</v>
      </c>
    </row>
    <row r="89" spans="2:33" ht="21.5" thickTop="1" x14ac:dyDescent="0.5">
      <c r="B89">
        <f t="shared" si="23"/>
        <v>81</v>
      </c>
      <c r="C89" s="702" t="s">
        <v>2856</v>
      </c>
      <c r="D89" s="470"/>
      <c r="E89" s="461"/>
      <c r="F89" s="461"/>
      <c r="G89" s="1005"/>
      <c r="H89" s="1005"/>
      <c r="I89" s="1005"/>
      <c r="J89" s="474"/>
      <c r="K89" s="463"/>
      <c r="L89" s="463"/>
      <c r="M89" s="463"/>
      <c r="N89" s="463"/>
      <c r="O89" s="463"/>
      <c r="P89" s="474"/>
      <c r="Q89" s="471"/>
      <c r="R89" s="463"/>
      <c r="S89" s="471"/>
      <c r="T89" s="463"/>
      <c r="U89" s="462"/>
      <c r="V89" s="463"/>
      <c r="W89" s="463"/>
      <c r="X89" s="463"/>
      <c r="Y89" s="463"/>
      <c r="Z89" s="463"/>
      <c r="AA89" s="555"/>
      <c r="AB89" s="1006"/>
      <c r="AC89">
        <f t="shared" si="24"/>
        <v>81</v>
      </c>
      <c r="AE89" s="14"/>
      <c r="AF89" s="14"/>
    </row>
    <row r="90" spans="2:33" x14ac:dyDescent="0.35">
      <c r="B90">
        <f t="shared" si="23"/>
        <v>82</v>
      </c>
      <c r="C90" s="422" t="s">
        <v>1832</v>
      </c>
      <c r="D90" s="7" t="s">
        <v>1150</v>
      </c>
      <c r="E90" t="s">
        <v>1837</v>
      </c>
      <c r="F90" t="s">
        <v>1833</v>
      </c>
      <c r="G90" s="202" t="s">
        <v>45</v>
      </c>
      <c r="H90" s="202" t="s">
        <v>18</v>
      </c>
      <c r="I90" s="202" t="s">
        <v>1733</v>
      </c>
      <c r="J90" s="129">
        <f>K90*(1/KeyChips!$S$106)</f>
        <v>1.3106666666666666</v>
      </c>
      <c r="K90" s="34">
        <f>KeyChips!J$53</f>
        <v>32</v>
      </c>
      <c r="L90" s="108">
        <f>KeyChips!M$53</f>
        <v>205</v>
      </c>
      <c r="M90" s="34">
        <v>1</v>
      </c>
      <c r="N90" s="108">
        <f>KeyChips!W$53</f>
        <v>200</v>
      </c>
      <c r="O90" s="34">
        <f>KeyChips!T$53</f>
        <v>40</v>
      </c>
      <c r="P90" s="129">
        <f>N90/O90</f>
        <v>5</v>
      </c>
      <c r="Q90" s="401">
        <f>KeyChips!P$53</f>
        <v>899</v>
      </c>
      <c r="R90" s="34" t="s">
        <v>45</v>
      </c>
      <c r="S90" s="34" t="s">
        <v>45</v>
      </c>
      <c r="T90" s="108" t="s">
        <v>45</v>
      </c>
      <c r="U90" s="2" t="s">
        <v>1270</v>
      </c>
      <c r="V90" s="108" t="s">
        <v>45</v>
      </c>
      <c r="W90" s="34" t="s">
        <v>850</v>
      </c>
      <c r="X90" s="108" t="s">
        <v>619</v>
      </c>
      <c r="Y90" s="34" t="s">
        <v>619</v>
      </c>
      <c r="Z90" s="108" t="s">
        <v>45</v>
      </c>
      <c r="AA90" s="437" t="s">
        <v>45</v>
      </c>
      <c r="AB90" s="579" t="s">
        <v>45</v>
      </c>
      <c r="AC90">
        <f t="shared" si="24"/>
        <v>82</v>
      </c>
      <c r="AE90" s="14" t="s">
        <v>1838</v>
      </c>
      <c r="AF90" s="14" t="s">
        <v>1839</v>
      </c>
      <c r="AG90" t="s">
        <v>45</v>
      </c>
    </row>
    <row r="91" spans="2:33" x14ac:dyDescent="0.35">
      <c r="B91">
        <f t="shared" si="23"/>
        <v>83</v>
      </c>
      <c r="C91" s="23" t="s">
        <v>2849</v>
      </c>
      <c r="D91" s="7" t="s">
        <v>1946</v>
      </c>
      <c r="E91" t="s">
        <v>2851</v>
      </c>
      <c r="F91" t="s">
        <v>2852</v>
      </c>
      <c r="G91" s="202"/>
      <c r="H91" s="202"/>
      <c r="I91" s="202"/>
      <c r="J91" s="129"/>
      <c r="K91" s="34"/>
      <c r="L91" s="108"/>
      <c r="M91" s="34"/>
      <c r="N91" s="108"/>
      <c r="O91" s="34"/>
      <c r="P91" s="129"/>
      <c r="Q91" s="401"/>
      <c r="R91" s="34"/>
      <c r="S91" s="34"/>
      <c r="T91" s="108"/>
      <c r="U91" s="2"/>
      <c r="V91" s="108"/>
      <c r="W91" s="34"/>
      <c r="X91" s="108"/>
      <c r="Y91" s="34"/>
      <c r="Z91" s="108"/>
      <c r="AA91" s="437"/>
      <c r="AB91" s="579"/>
      <c r="AC91">
        <f t="shared" si="24"/>
        <v>83</v>
      </c>
      <c r="AE91" s="14" t="s">
        <v>2850</v>
      </c>
      <c r="AF91" s="14" t="s">
        <v>45</v>
      </c>
    </row>
    <row r="92" spans="2:33" x14ac:dyDescent="0.35">
      <c r="B92">
        <f t="shared" si="23"/>
        <v>84</v>
      </c>
      <c r="C92" s="23" t="s">
        <v>1798</v>
      </c>
      <c r="D92" s="7" t="s">
        <v>1247</v>
      </c>
      <c r="E92" t="s">
        <v>1738</v>
      </c>
      <c r="F92" t="s">
        <v>1266</v>
      </c>
      <c r="G92" s="202" t="s">
        <v>45</v>
      </c>
      <c r="H92" s="202" t="s">
        <v>18</v>
      </c>
      <c r="I92" s="202" t="s">
        <v>1373</v>
      </c>
      <c r="J92" s="129">
        <f>K92*(1/KeyChips!$S$106)</f>
        <v>0.65533333333333332</v>
      </c>
      <c r="K92" s="34">
        <f>KeyChips!J52</f>
        <v>16</v>
      </c>
      <c r="L92" s="108">
        <f>KeyChips!M52</f>
        <v>102</v>
      </c>
      <c r="M92" s="34">
        <v>1</v>
      </c>
      <c r="N92" s="108">
        <f>KeyChips!W52</f>
        <v>100</v>
      </c>
      <c r="O92" s="34">
        <f>KeyChips!T52</f>
        <v>25</v>
      </c>
      <c r="P92" s="129">
        <f>N92/O92</f>
        <v>4</v>
      </c>
      <c r="Q92" s="401">
        <f>KeyChips!P52</f>
        <v>599</v>
      </c>
      <c r="R92" s="34" t="s">
        <v>45</v>
      </c>
      <c r="S92" s="34" t="s">
        <v>45</v>
      </c>
      <c r="T92" s="108" t="s">
        <v>45</v>
      </c>
      <c r="U92" s="2" t="s">
        <v>1270</v>
      </c>
      <c r="V92" s="108" t="s">
        <v>45</v>
      </c>
      <c r="W92" s="34" t="s">
        <v>850</v>
      </c>
      <c r="X92" s="108" t="s">
        <v>619</v>
      </c>
      <c r="Y92" s="34" t="s">
        <v>619</v>
      </c>
      <c r="Z92" s="108" t="s">
        <v>45</v>
      </c>
      <c r="AA92" s="437" t="s">
        <v>45</v>
      </c>
      <c r="AB92" s="579" t="s">
        <v>45</v>
      </c>
      <c r="AC92">
        <f t="shared" si="24"/>
        <v>84</v>
      </c>
      <c r="AE92" s="14" t="s">
        <v>1263</v>
      </c>
      <c r="AF92" t="s">
        <v>45</v>
      </c>
    </row>
    <row r="93" spans="2:33" x14ac:dyDescent="0.35">
      <c r="B93">
        <f t="shared" si="23"/>
        <v>85</v>
      </c>
      <c r="C93" s="23" t="s">
        <v>2875</v>
      </c>
      <c r="D93" s="7" t="s">
        <v>1247</v>
      </c>
      <c r="E93" t="s">
        <v>2877</v>
      </c>
      <c r="G93" s="202" t="s">
        <v>45</v>
      </c>
      <c r="H93" s="202"/>
      <c r="I93" s="202"/>
      <c r="J93" s="129"/>
      <c r="K93" s="34"/>
      <c r="L93" s="108"/>
      <c r="M93" s="34"/>
      <c r="N93" s="108"/>
      <c r="O93" s="34"/>
      <c r="P93" s="129"/>
      <c r="Q93" s="401"/>
      <c r="R93" s="34"/>
      <c r="S93" s="34"/>
      <c r="T93" s="108"/>
      <c r="U93" s="2"/>
      <c r="V93" s="108"/>
      <c r="W93" s="34"/>
      <c r="X93" s="108"/>
      <c r="Y93" s="34"/>
      <c r="Z93" s="108"/>
      <c r="AA93" s="437"/>
      <c r="AB93" s="579"/>
      <c r="AC93">
        <f t="shared" si="24"/>
        <v>85</v>
      </c>
      <c r="AE93" s="14"/>
    </row>
    <row r="94" spans="2:33" x14ac:dyDescent="0.35">
      <c r="B94">
        <f t="shared" si="23"/>
        <v>86</v>
      </c>
      <c r="C94" s="23" t="s">
        <v>2878</v>
      </c>
      <c r="D94" s="7">
        <v>2024</v>
      </c>
      <c r="E94" t="s">
        <v>2881</v>
      </c>
      <c r="F94" t="s">
        <v>45</v>
      </c>
      <c r="G94" s="202" t="s">
        <v>45</v>
      </c>
      <c r="H94" s="202"/>
      <c r="I94" s="202"/>
      <c r="J94" s="129"/>
      <c r="K94" s="34"/>
      <c r="L94" s="108"/>
      <c r="M94" s="34"/>
      <c r="N94" s="108"/>
      <c r="O94" s="34"/>
      <c r="P94" s="129"/>
      <c r="Q94" s="401"/>
      <c r="R94" s="34"/>
      <c r="S94" s="34"/>
      <c r="T94" s="108"/>
      <c r="U94" s="2"/>
      <c r="V94" s="108"/>
      <c r="W94" s="34"/>
      <c r="X94" s="108"/>
      <c r="Y94" s="34"/>
      <c r="Z94" s="108"/>
      <c r="AA94" s="437"/>
      <c r="AB94" s="579"/>
      <c r="AC94">
        <f t="shared" si="24"/>
        <v>86</v>
      </c>
      <c r="AE94" s="14"/>
    </row>
    <row r="95" spans="2:33" x14ac:dyDescent="0.35">
      <c r="B95">
        <f t="shared" si="23"/>
        <v>87</v>
      </c>
      <c r="C95" s="23" t="s">
        <v>1799</v>
      </c>
      <c r="D95" s="7" t="s">
        <v>1718</v>
      </c>
      <c r="E95" t="s">
        <v>1797</v>
      </c>
      <c r="F95" t="s">
        <v>1720</v>
      </c>
      <c r="G95" s="202" t="s">
        <v>45</v>
      </c>
      <c r="H95" s="202" t="s">
        <v>18</v>
      </c>
      <c r="I95" s="202" t="s">
        <v>1831</v>
      </c>
      <c r="J95" s="129">
        <f>K95*(1/KeyChips!$S$106)</f>
        <v>1.3106666666666666</v>
      </c>
      <c r="K95" s="34">
        <f>KeyChips!J$53</f>
        <v>32</v>
      </c>
      <c r="L95" s="108">
        <f>KeyChips!M$53</f>
        <v>205</v>
      </c>
      <c r="M95" s="34">
        <v>1</v>
      </c>
      <c r="N95" s="108">
        <f>KeyChips!W$53</f>
        <v>200</v>
      </c>
      <c r="O95" s="34">
        <f>KeyChips!T$53</f>
        <v>40</v>
      </c>
      <c r="P95" s="129">
        <f>N95/O95</f>
        <v>5</v>
      </c>
      <c r="Q95" s="401">
        <f>KeyChips!P$53</f>
        <v>899</v>
      </c>
      <c r="R95" s="34" t="s">
        <v>45</v>
      </c>
      <c r="S95" s="34" t="s">
        <v>45</v>
      </c>
      <c r="T95" s="108" t="s">
        <v>45</v>
      </c>
      <c r="U95" s="2" t="s">
        <v>1270</v>
      </c>
      <c r="V95" s="108" t="s">
        <v>45</v>
      </c>
      <c r="W95" s="34" t="s">
        <v>850</v>
      </c>
      <c r="X95" s="108" t="s">
        <v>619</v>
      </c>
      <c r="Y95" s="34" t="s">
        <v>619</v>
      </c>
      <c r="Z95" s="108" t="s">
        <v>45</v>
      </c>
      <c r="AA95" s="437" t="s">
        <v>45</v>
      </c>
      <c r="AB95" s="579" t="s">
        <v>45</v>
      </c>
      <c r="AC95">
        <f t="shared" si="24"/>
        <v>87</v>
      </c>
      <c r="AD95" t="s">
        <v>1721</v>
      </c>
      <c r="AE95" s="14" t="s">
        <v>1737</v>
      </c>
      <c r="AF95" t="s">
        <v>45</v>
      </c>
    </row>
    <row r="96" spans="2:33" ht="15" thickBot="1" x14ac:dyDescent="0.4">
      <c r="B96">
        <f t="shared" si="23"/>
        <v>88</v>
      </c>
      <c r="C96" s="23" t="s">
        <v>1722</v>
      </c>
      <c r="D96" s="7" t="s">
        <v>1723</v>
      </c>
      <c r="E96" t="s">
        <v>1724</v>
      </c>
      <c r="F96" t="s">
        <v>1725</v>
      </c>
      <c r="G96" s="202"/>
      <c r="H96" s="202" t="s">
        <v>18</v>
      </c>
      <c r="I96" s="202" t="s">
        <v>1726</v>
      </c>
      <c r="J96" s="129">
        <f>K96*(1/KeyChips!$S$106)</f>
        <v>0.32766666666666666</v>
      </c>
      <c r="K96" s="34">
        <f>KeyChips!J49</f>
        <v>8</v>
      </c>
      <c r="L96" s="108">
        <f>KeyChips!M49</f>
        <v>59.7</v>
      </c>
      <c r="M96" s="34">
        <v>1</v>
      </c>
      <c r="N96" s="450">
        <f>KeyChips!V49</f>
        <v>1.33</v>
      </c>
      <c r="O96" s="34">
        <f>KeyChips!T49</f>
        <v>15</v>
      </c>
      <c r="P96" s="129">
        <f>N96/O96</f>
        <v>8.8666666666666671E-2</v>
      </c>
      <c r="Q96" s="401">
        <f>KeyChips!P49</f>
        <v>399</v>
      </c>
      <c r="R96" s="34" t="s">
        <v>45</v>
      </c>
      <c r="S96" s="34" t="s">
        <v>45</v>
      </c>
      <c r="T96" s="108" t="s">
        <v>45</v>
      </c>
      <c r="U96" s="2" t="s">
        <v>1270</v>
      </c>
      <c r="V96" s="108" t="s">
        <v>45</v>
      </c>
      <c r="W96" s="34" t="s">
        <v>850</v>
      </c>
      <c r="X96" s="108" t="s">
        <v>619</v>
      </c>
      <c r="Y96" s="34" t="s">
        <v>619</v>
      </c>
      <c r="Z96" s="108" t="s">
        <v>45</v>
      </c>
      <c r="AA96" s="437" t="s">
        <v>45</v>
      </c>
      <c r="AB96" s="579" t="s">
        <v>45</v>
      </c>
      <c r="AC96">
        <f t="shared" si="24"/>
        <v>88</v>
      </c>
      <c r="AE96" s="14" t="s">
        <v>1840</v>
      </c>
      <c r="AF96" t="s">
        <v>45</v>
      </c>
    </row>
    <row r="97" spans="2:36" ht="21.5" thickTop="1" x14ac:dyDescent="0.5">
      <c r="B97">
        <f t="shared" si="23"/>
        <v>89</v>
      </c>
      <c r="C97" s="702" t="s">
        <v>1262</v>
      </c>
      <c r="D97" s="470"/>
      <c r="E97" s="461"/>
      <c r="F97" s="461"/>
      <c r="G97" s="463"/>
      <c r="H97" s="463"/>
      <c r="I97" s="463"/>
      <c r="J97" s="474"/>
      <c r="K97" s="463"/>
      <c r="L97" s="463"/>
      <c r="M97" s="463"/>
      <c r="N97" s="462"/>
      <c r="O97" s="463"/>
      <c r="P97" s="474"/>
      <c r="Q97" s="471"/>
      <c r="R97" s="463"/>
      <c r="S97" s="471"/>
      <c r="T97" s="463"/>
      <c r="U97" s="462"/>
      <c r="V97" s="462"/>
      <c r="W97" s="463"/>
      <c r="X97" s="463"/>
      <c r="Y97" s="459"/>
      <c r="Z97" s="459"/>
      <c r="AA97" s="555"/>
      <c r="AB97" s="564"/>
      <c r="AC97">
        <f t="shared" si="24"/>
        <v>89</v>
      </c>
    </row>
    <row r="98" spans="2:36" x14ac:dyDescent="0.35">
      <c r="B98">
        <f t="shared" si="23"/>
        <v>90</v>
      </c>
      <c r="C98" s="23" t="s">
        <v>1921</v>
      </c>
      <c r="D98" s="7" t="s">
        <v>658</v>
      </c>
      <c r="E98" t="s">
        <v>1573</v>
      </c>
      <c r="F98" t="s">
        <v>1049</v>
      </c>
      <c r="G98" s="37" t="s">
        <v>45</v>
      </c>
      <c r="H98" s="37" t="s">
        <v>45</v>
      </c>
      <c r="I98" s="37" t="s">
        <v>1572</v>
      </c>
      <c r="J98" s="200">
        <f>986748/AF3</f>
        <v>9.8674799999999997E-4</v>
      </c>
      <c r="K98" s="34">
        <f>KeyChips!J34</f>
        <v>8</v>
      </c>
      <c r="L98" s="108">
        <f>KeyChips!M$34</f>
        <v>614</v>
      </c>
      <c r="M98" s="2">
        <f>K98/KeyChips!J$34</f>
        <v>1</v>
      </c>
      <c r="N98" s="108">
        <f>M98*KeyChips!W$34</f>
        <v>138</v>
      </c>
      <c r="O98" s="2">
        <f>M98*KeyChips!T$34*O$3</f>
        <v>352.27272727272731</v>
      </c>
      <c r="P98" s="129">
        <f>N98/O98</f>
        <v>0.39174193548387093</v>
      </c>
      <c r="Q98" s="401" t="s">
        <v>45</v>
      </c>
      <c r="R98" s="34">
        <v>6380</v>
      </c>
      <c r="S98" s="401" t="s">
        <v>45</v>
      </c>
      <c r="T98" s="692" t="s">
        <v>45</v>
      </c>
      <c r="U98" s="202" t="s">
        <v>1917</v>
      </c>
      <c r="V98" s="108" t="s">
        <v>45</v>
      </c>
      <c r="W98" s="34" t="str">
        <f>W12</f>
        <v>200-400</v>
      </c>
      <c r="X98" s="108" t="s">
        <v>45</v>
      </c>
      <c r="Y98" s="34" t="s">
        <v>45</v>
      </c>
      <c r="Z98" s="108">
        <f>341*(AF7/AF6)</f>
        <v>341000</v>
      </c>
      <c r="AA98" s="437">
        <f>35.354+0.02</f>
        <v>35.374000000000002</v>
      </c>
      <c r="AB98" s="289">
        <v>40</v>
      </c>
      <c r="AC98">
        <f t="shared" si="24"/>
        <v>90</v>
      </c>
      <c r="AD98" t="s">
        <v>1919</v>
      </c>
    </row>
    <row r="99" spans="2:36" x14ac:dyDescent="0.35">
      <c r="B99">
        <f t="shared" si="23"/>
        <v>91</v>
      </c>
      <c r="C99" s="23" t="s">
        <v>2098</v>
      </c>
      <c r="D99" s="7">
        <v>2020</v>
      </c>
      <c r="E99" s="37" t="s">
        <v>2097</v>
      </c>
      <c r="F99" t="s">
        <v>1047</v>
      </c>
      <c r="G99" s="37" t="s">
        <v>170</v>
      </c>
      <c r="H99" s="37" t="s">
        <v>45</v>
      </c>
      <c r="I99" s="37" t="s">
        <v>1562</v>
      </c>
      <c r="J99" s="200">
        <f>21000000/AF3</f>
        <v>2.1000000000000001E-2</v>
      </c>
      <c r="K99" s="34">
        <f>KeyChips!J10</f>
        <v>32</v>
      </c>
      <c r="L99" s="108">
        <f>KeyChips!M10</f>
        <v>870</v>
      </c>
      <c r="M99" s="2">
        <f>K99/KeyChips!J$10</f>
        <v>1</v>
      </c>
      <c r="N99" s="108">
        <f>M99*KeyChips!W$10</f>
        <v>125</v>
      </c>
      <c r="O99" s="2">
        <f>M99*KeyChips!T$10*O$3</f>
        <v>603.89610389610391</v>
      </c>
      <c r="P99" s="129">
        <f>N99/O99</f>
        <v>0.20698924731182794</v>
      </c>
      <c r="Q99" s="401">
        <f>M99*KeyChips!P$10</f>
        <v>6000</v>
      </c>
      <c r="R99" s="34" t="s">
        <v>45</v>
      </c>
      <c r="S99" s="401" t="s">
        <v>45</v>
      </c>
      <c r="T99" s="692" t="s">
        <v>45</v>
      </c>
      <c r="U99" s="7" t="s">
        <v>660</v>
      </c>
      <c r="V99" s="128">
        <v>6000</v>
      </c>
      <c r="W99" s="7" t="s">
        <v>617</v>
      </c>
      <c r="X99" s="108" t="s">
        <v>45</v>
      </c>
      <c r="Y99" s="34" t="s">
        <v>45</v>
      </c>
      <c r="Z99" s="108">
        <f>2.99*(AF7/AF6)</f>
        <v>2990</v>
      </c>
      <c r="AA99" s="437" t="s">
        <v>45</v>
      </c>
      <c r="AB99" s="289" t="s">
        <v>45</v>
      </c>
      <c r="AC99">
        <f t="shared" si="24"/>
        <v>91</v>
      </c>
    </row>
    <row r="100" spans="2:36" x14ac:dyDescent="0.35">
      <c r="B100">
        <f t="shared" si="23"/>
        <v>92</v>
      </c>
      <c r="C100" s="23" t="s">
        <v>2101</v>
      </c>
      <c r="D100" s="7" t="s">
        <v>1426</v>
      </c>
      <c r="E100" s="37" t="s">
        <v>2105</v>
      </c>
      <c r="F100" s="37" t="s">
        <v>45</v>
      </c>
      <c r="G100" s="37" t="s">
        <v>45</v>
      </c>
      <c r="H100" s="37" t="s">
        <v>45</v>
      </c>
      <c r="I100" s="37" t="s">
        <v>45</v>
      </c>
      <c r="J100" s="200" t="s">
        <v>45</v>
      </c>
      <c r="K100" s="34" t="s">
        <v>45</v>
      </c>
      <c r="L100" s="108" t="s">
        <v>45</v>
      </c>
      <c r="M100" s="34" t="s">
        <v>45</v>
      </c>
      <c r="N100" s="108" t="s">
        <v>45</v>
      </c>
      <c r="O100" s="34" t="s">
        <v>45</v>
      </c>
      <c r="P100" s="129" t="s">
        <v>45</v>
      </c>
      <c r="Q100" s="401" t="s">
        <v>45</v>
      </c>
      <c r="R100" s="34" t="s">
        <v>45</v>
      </c>
      <c r="S100" s="401" t="s">
        <v>45</v>
      </c>
      <c r="T100" s="692" t="s">
        <v>45</v>
      </c>
      <c r="U100" s="37" t="s">
        <v>2104</v>
      </c>
      <c r="V100" s="108" t="s">
        <v>45</v>
      </c>
      <c r="W100" s="34" t="s">
        <v>45</v>
      </c>
      <c r="X100" s="108" t="s">
        <v>45</v>
      </c>
      <c r="Y100" s="34" t="s">
        <v>45</v>
      </c>
      <c r="Z100" s="454" t="s">
        <v>45</v>
      </c>
      <c r="AA100" s="437" t="s">
        <v>45</v>
      </c>
      <c r="AB100" s="289" t="s">
        <v>45</v>
      </c>
      <c r="AC100">
        <f t="shared" ref="AC100:AC129" si="25">AC99+1</f>
        <v>92</v>
      </c>
    </row>
    <row r="101" spans="2:36" x14ac:dyDescent="0.35">
      <c r="B101">
        <f t="shared" si="23"/>
        <v>93</v>
      </c>
      <c r="C101" s="23" t="s">
        <v>2109</v>
      </c>
      <c r="D101" s="7" t="s">
        <v>768</v>
      </c>
      <c r="E101" s="37" t="s">
        <v>2110</v>
      </c>
      <c r="F101" s="37" t="s">
        <v>1047</v>
      </c>
      <c r="G101" s="37" t="s">
        <v>170</v>
      </c>
      <c r="H101" s="37" t="s">
        <v>45</v>
      </c>
      <c r="I101" s="37" t="s">
        <v>1572</v>
      </c>
      <c r="J101" s="200">
        <v>2.6579469999999999E-3</v>
      </c>
      <c r="K101" s="34" t="s">
        <v>45</v>
      </c>
      <c r="L101" s="108" t="s">
        <v>45</v>
      </c>
      <c r="M101" s="34" t="s">
        <v>45</v>
      </c>
      <c r="N101" s="108" t="s">
        <v>45</v>
      </c>
      <c r="O101" s="34" t="s">
        <v>45</v>
      </c>
      <c r="P101" s="129" t="s">
        <v>45</v>
      </c>
      <c r="Q101" s="401" t="s">
        <v>45</v>
      </c>
      <c r="R101" s="34" t="s">
        <v>45</v>
      </c>
      <c r="S101" s="401" t="s">
        <v>45</v>
      </c>
      <c r="T101" s="692" t="s">
        <v>45</v>
      </c>
      <c r="U101" s="7" t="s">
        <v>45</v>
      </c>
      <c r="V101" s="108" t="s">
        <v>45</v>
      </c>
      <c r="W101" s="34" t="s">
        <v>45</v>
      </c>
      <c r="X101" s="108" t="s">
        <v>45</v>
      </c>
      <c r="Y101" s="34" t="s">
        <v>45</v>
      </c>
      <c r="Z101" s="454" t="s">
        <v>45</v>
      </c>
      <c r="AA101" s="437" t="s">
        <v>45</v>
      </c>
      <c r="AB101" s="289" t="s">
        <v>45</v>
      </c>
      <c r="AC101">
        <f t="shared" si="25"/>
        <v>93</v>
      </c>
    </row>
    <row r="102" spans="2:36" x14ac:dyDescent="0.35">
      <c r="B102">
        <f t="shared" si="23"/>
        <v>94</v>
      </c>
      <c r="C102" s="23" t="s">
        <v>2099</v>
      </c>
      <c r="D102" s="7">
        <v>2023</v>
      </c>
      <c r="E102" t="s">
        <v>1574</v>
      </c>
      <c r="F102" t="s">
        <v>637</v>
      </c>
      <c r="G102" s="37" t="s">
        <v>170</v>
      </c>
      <c r="H102" s="37" t="s">
        <v>45</v>
      </c>
      <c r="I102" s="37" t="s">
        <v>1572</v>
      </c>
      <c r="J102" s="157">
        <v>2</v>
      </c>
      <c r="K102" s="83">
        <f>J102*J$174</f>
        <v>4.8</v>
      </c>
      <c r="L102" s="108">
        <f>KeyChips!M$34</f>
        <v>614</v>
      </c>
      <c r="M102" s="2">
        <f>K102/KeyChips!J$34</f>
        <v>0.6</v>
      </c>
      <c r="N102" s="108">
        <f>M102*KeyChips!W$34</f>
        <v>82.8</v>
      </c>
      <c r="O102" s="2">
        <f>M102*KeyChips!T$34*O$3</f>
        <v>211.36363636363637</v>
      </c>
      <c r="P102" s="129">
        <f>N102/O102</f>
        <v>0.39174193548387093</v>
      </c>
      <c r="Q102" s="401" t="s">
        <v>45</v>
      </c>
      <c r="R102" s="34" t="s">
        <v>45</v>
      </c>
      <c r="S102" s="401" t="s">
        <v>45</v>
      </c>
      <c r="T102" s="692" t="s">
        <v>45</v>
      </c>
      <c r="U102" s="34" t="s">
        <v>1801</v>
      </c>
      <c r="V102" s="108">
        <f>12000000*N148/1000</f>
        <v>4139.9999999999991</v>
      </c>
      <c r="W102" s="34" t="s">
        <v>649</v>
      </c>
      <c r="X102" s="108" t="s">
        <v>45</v>
      </c>
      <c r="Y102" s="92" t="s">
        <v>45</v>
      </c>
      <c r="Z102" s="454" t="s">
        <v>45</v>
      </c>
      <c r="AA102" s="437" t="s">
        <v>45</v>
      </c>
      <c r="AB102" s="289" t="s">
        <v>45</v>
      </c>
      <c r="AC102">
        <f t="shared" si="25"/>
        <v>94</v>
      </c>
    </row>
    <row r="103" spans="2:36" x14ac:dyDescent="0.35">
      <c r="B103">
        <f t="shared" si="23"/>
        <v>95</v>
      </c>
      <c r="C103" s="23" t="s">
        <v>2100</v>
      </c>
      <c r="D103" s="7">
        <v>2022</v>
      </c>
      <c r="E103" t="s">
        <v>1574</v>
      </c>
      <c r="F103" t="s">
        <v>647</v>
      </c>
      <c r="G103" s="37" t="s">
        <v>170</v>
      </c>
      <c r="H103" s="37" t="s">
        <v>45</v>
      </c>
      <c r="I103" s="37" t="s">
        <v>1562</v>
      </c>
      <c r="J103" s="157">
        <v>1.5</v>
      </c>
      <c r="K103" s="83">
        <f>J103*J$174</f>
        <v>3.5999999999999996</v>
      </c>
      <c r="L103" s="128">
        <f>KeyChips!M$10</f>
        <v>870</v>
      </c>
      <c r="M103" s="83">
        <f>K103/KeyChips!J$10</f>
        <v>0.11249999999999999</v>
      </c>
      <c r="N103" s="108">
        <f>M103*KeyChips!W$10</f>
        <v>14.062499999999998</v>
      </c>
      <c r="O103" s="2">
        <f>M103*KeyChips!T$10*O$3</f>
        <v>67.938311688311686</v>
      </c>
      <c r="P103" s="129">
        <f>N103/O103</f>
        <v>0.20698924731182794</v>
      </c>
      <c r="Q103" s="401">
        <f>1*KeyChips!P$10</f>
        <v>6000</v>
      </c>
      <c r="R103" s="34" t="s">
        <v>45</v>
      </c>
      <c r="S103" s="401" t="s">
        <v>45</v>
      </c>
      <c r="T103" s="692" t="s">
        <v>45</v>
      </c>
      <c r="U103" s="34" t="s">
        <v>1802</v>
      </c>
      <c r="V103" s="108">
        <f>680000*N148/1000</f>
        <v>234.59999999999997</v>
      </c>
      <c r="W103" s="34" t="str">
        <f>W102</f>
        <v>50-400</v>
      </c>
      <c r="X103" s="108" t="s">
        <v>45</v>
      </c>
      <c r="Y103" s="92" t="s">
        <v>45</v>
      </c>
      <c r="Z103" s="454" t="s">
        <v>45</v>
      </c>
      <c r="AA103" s="437" t="s">
        <v>45</v>
      </c>
      <c r="AB103" s="289" t="s">
        <v>45</v>
      </c>
      <c r="AC103">
        <f t="shared" si="25"/>
        <v>95</v>
      </c>
    </row>
    <row r="104" spans="2:36" x14ac:dyDescent="0.35">
      <c r="B104">
        <f t="shared" si="23"/>
        <v>96</v>
      </c>
      <c r="C104" s="23" t="s">
        <v>2819</v>
      </c>
      <c r="D104" s="7" t="s">
        <v>1426</v>
      </c>
      <c r="E104" t="s">
        <v>1627</v>
      </c>
      <c r="F104" t="s">
        <v>1800</v>
      </c>
      <c r="G104" s="202" t="s">
        <v>1444</v>
      </c>
      <c r="H104" s="202" t="s">
        <v>18</v>
      </c>
      <c r="I104" s="202" t="s">
        <v>375</v>
      </c>
      <c r="J104" s="129">
        <v>14</v>
      </c>
      <c r="K104" s="34">
        <f>KeyChips!S106*J104</f>
        <v>341.81078331637843</v>
      </c>
      <c r="L104" s="108">
        <f>KeyChips!M12</f>
        <v>3350</v>
      </c>
      <c r="M104" s="83">
        <f>K104/KeyChips!J$12</f>
        <v>4.2726347914547302</v>
      </c>
      <c r="N104" s="108">
        <f>M104*KeyChips!W$12</f>
        <v>16911.088504577823</v>
      </c>
      <c r="O104" s="2">
        <f>M104*KeyChips!T$12*O$3</f>
        <v>6020.5308425043931</v>
      </c>
      <c r="P104" s="129">
        <f>N104/O104</f>
        <v>2.8089032258064517</v>
      </c>
      <c r="Q104" s="401">
        <f>M104*KeyChips!P$12*Q3</f>
        <v>281993.89623601222</v>
      </c>
      <c r="R104" s="34">
        <v>10000</v>
      </c>
      <c r="S104" s="401">
        <f>R104*KeyChips!P12*Q3/AF2</f>
        <v>660</v>
      </c>
      <c r="T104" s="108" t="s">
        <v>45</v>
      </c>
      <c r="U104" s="2">
        <v>9000000</v>
      </c>
      <c r="V104" s="108">
        <f>20000000*N145</f>
        <v>576000000</v>
      </c>
      <c r="W104" s="34" t="s">
        <v>1269</v>
      </c>
      <c r="X104" s="108" t="s">
        <v>619</v>
      </c>
      <c r="Y104" s="34" t="s">
        <v>619</v>
      </c>
      <c r="Z104" s="108">
        <f>(R104*KeyChips!W12*N149*N150*N151*AB104)/(AF6/AF4)</f>
        <v>307774080</v>
      </c>
      <c r="AA104" s="437">
        <f>(AB104*24*R104*AC1)/AF2</f>
        <v>43.2</v>
      </c>
      <c r="AB104" s="289">
        <v>90</v>
      </c>
      <c r="AC104">
        <f t="shared" si="25"/>
        <v>96</v>
      </c>
      <c r="AD104" t="s">
        <v>1546</v>
      </c>
      <c r="AE104" s="14" t="s">
        <v>1471</v>
      </c>
      <c r="AF104">
        <f>V104/U104</f>
        <v>64</v>
      </c>
    </row>
    <row r="105" spans="2:36" ht="15" thickBot="1" x14ac:dyDescent="0.4">
      <c r="B105">
        <f t="shared" si="23"/>
        <v>97</v>
      </c>
      <c r="C105" s="23" t="s">
        <v>2820</v>
      </c>
      <c r="D105" s="7"/>
      <c r="G105" s="202"/>
      <c r="H105" s="202"/>
      <c r="I105" s="202"/>
      <c r="J105" s="129"/>
      <c r="K105" s="34"/>
      <c r="L105" s="108"/>
      <c r="M105" s="83"/>
      <c r="N105" s="108"/>
      <c r="O105" s="2"/>
      <c r="P105" s="129"/>
      <c r="Q105" s="401"/>
      <c r="R105" s="34"/>
      <c r="S105" s="401"/>
      <c r="T105" s="108"/>
      <c r="U105" s="2"/>
      <c r="V105" s="108"/>
      <c r="W105" s="34"/>
      <c r="X105" s="108"/>
      <c r="Y105" s="34"/>
      <c r="Z105" s="108"/>
      <c r="AA105" s="437"/>
      <c r="AB105" s="289"/>
      <c r="AC105">
        <f t="shared" si="25"/>
        <v>97</v>
      </c>
      <c r="AE105" s="14"/>
    </row>
    <row r="106" spans="2:36" ht="21.5" thickTop="1" x14ac:dyDescent="0.5">
      <c r="B106">
        <f t="shared" si="23"/>
        <v>98</v>
      </c>
      <c r="C106" s="702" t="str">
        <f>KeyChips!C72</f>
        <v>Comparing with biological brains</v>
      </c>
      <c r="D106" s="470"/>
      <c r="E106" s="461"/>
      <c r="F106" s="461"/>
      <c r="G106" s="463"/>
      <c r="H106" s="463"/>
      <c r="I106" s="463"/>
      <c r="J106" s="462"/>
      <c r="K106" s="462"/>
      <c r="L106" s="463"/>
      <c r="M106" s="463"/>
      <c r="N106" s="462"/>
      <c r="O106" s="462"/>
      <c r="P106" s="474"/>
      <c r="Q106" s="471"/>
      <c r="R106" s="463"/>
      <c r="S106" s="471"/>
      <c r="T106" s="463"/>
      <c r="U106" s="463"/>
      <c r="V106" s="463"/>
      <c r="W106" s="463"/>
      <c r="X106" s="463"/>
      <c r="Y106" s="463"/>
      <c r="Z106" s="463"/>
      <c r="AA106" s="471"/>
      <c r="AB106" s="564" t="s">
        <v>4</v>
      </c>
      <c r="AC106">
        <f t="shared" si="25"/>
        <v>98</v>
      </c>
      <c r="AD106" t="s">
        <v>1761</v>
      </c>
      <c r="AE106" s="14" t="s">
        <v>1762</v>
      </c>
      <c r="AF106" t="s">
        <v>45</v>
      </c>
    </row>
    <row r="107" spans="2:36" x14ac:dyDescent="0.35">
      <c r="B107">
        <f t="shared" si="23"/>
        <v>99</v>
      </c>
      <c r="C107" s="23" t="s">
        <v>2228</v>
      </c>
      <c r="D107" s="34" t="str">
        <f>KeyChips!D73</f>
        <v>300,000BC</v>
      </c>
      <c r="E107" t="s">
        <v>1119</v>
      </c>
      <c r="F107" t="s">
        <v>188</v>
      </c>
      <c r="G107" s="401" t="s">
        <v>1681</v>
      </c>
      <c r="H107" s="401" t="s">
        <v>18</v>
      </c>
      <c r="I107" s="401" t="s">
        <v>1571</v>
      </c>
      <c r="J107" s="128">
        <f>D149*D161</f>
        <v>258000</v>
      </c>
      <c r="K107" s="2">
        <f>D149*D161*(D147/D148)</f>
        <v>151575</v>
      </c>
      <c r="L107" s="448">
        <f>L$128</f>
        <v>3.2000000000000001E-2</v>
      </c>
      <c r="M107" s="626" t="s">
        <v>1052</v>
      </c>
      <c r="N107" s="128">
        <f t="shared" ref="N107:N116" si="26">(D149*D$161*D$163)/AF$1</f>
        <v>12900</v>
      </c>
      <c r="O107" s="413">
        <v>20</v>
      </c>
      <c r="P107" s="129">
        <f t="shared" ref="P107:P120" si="27">N107/O107</f>
        <v>645</v>
      </c>
      <c r="Q107" s="401">
        <v>200000</v>
      </c>
      <c r="R107" s="626" t="s">
        <v>1052</v>
      </c>
      <c r="S107" s="404">
        <f>200000/AF2</f>
        <v>0.2</v>
      </c>
      <c r="T107" s="128" t="s">
        <v>2050</v>
      </c>
      <c r="U107" s="2" t="s">
        <v>1307</v>
      </c>
      <c r="V107" s="128">
        <f>V$128</f>
        <v>16146432.000000002</v>
      </c>
      <c r="W107" s="34" t="s">
        <v>668</v>
      </c>
      <c r="X107" s="108" t="s">
        <v>367</v>
      </c>
      <c r="Y107" s="34" t="s">
        <v>368</v>
      </c>
      <c r="Z107" s="108">
        <f>(N107*(AF$4/AF$6))*N$149*N$150*N$151*N$152*AF107</f>
        <v>6509030.3999999994</v>
      </c>
      <c r="AA107" s="404">
        <v>0.2</v>
      </c>
      <c r="AB107" s="289">
        <f>AF107</f>
        <v>16</v>
      </c>
      <c r="AC107">
        <f t="shared" si="25"/>
        <v>99</v>
      </c>
      <c r="AE107" s="119">
        <f>J$107/J107</f>
        <v>1</v>
      </c>
      <c r="AF107">
        <v>16</v>
      </c>
      <c r="AG107" t="s">
        <v>1308</v>
      </c>
      <c r="AH107">
        <v>80</v>
      </c>
      <c r="AI107" t="s">
        <v>1348</v>
      </c>
      <c r="AJ107" t="s">
        <v>1489</v>
      </c>
    </row>
    <row r="108" spans="2:36" x14ac:dyDescent="0.35">
      <c r="B108">
        <f t="shared" si="23"/>
        <v>100</v>
      </c>
      <c r="C108" s="23" t="s">
        <v>1803</v>
      </c>
      <c r="D108" s="34" t="str">
        <f>D107</f>
        <v>300,000BC</v>
      </c>
      <c r="E108" t="s">
        <v>433</v>
      </c>
      <c r="F108" t="s">
        <v>188</v>
      </c>
      <c r="G108" s="401" t="s">
        <v>1681</v>
      </c>
      <c r="H108" s="401" t="s">
        <v>18</v>
      </c>
      <c r="I108" s="401" t="s">
        <v>1571</v>
      </c>
      <c r="J108" s="128">
        <f t="shared" ref="J108:J116" si="28">J$107*C150</f>
        <v>63000</v>
      </c>
      <c r="K108" s="2">
        <f t="shared" ref="K108:K118" si="29">K$107*C150</f>
        <v>37012.5</v>
      </c>
      <c r="L108" s="448">
        <f>L$128</f>
        <v>3.2000000000000001E-2</v>
      </c>
      <c r="M108" s="626" t="s">
        <v>1052</v>
      </c>
      <c r="N108" s="128">
        <f t="shared" si="26"/>
        <v>3150</v>
      </c>
      <c r="O108" s="413">
        <f t="shared" ref="O108:O118" si="30">O$107*C150</f>
        <v>4.8837209302325579</v>
      </c>
      <c r="P108" s="129">
        <f t="shared" si="27"/>
        <v>645</v>
      </c>
      <c r="Q108" s="401">
        <f>Q107</f>
        <v>200000</v>
      </c>
      <c r="R108" s="626" t="s">
        <v>1052</v>
      </c>
      <c r="S108" s="404">
        <f>S107</f>
        <v>0.2</v>
      </c>
      <c r="T108" s="128" t="s">
        <v>2050</v>
      </c>
      <c r="U108" s="2" t="s">
        <v>1307</v>
      </c>
      <c r="V108" s="128">
        <f t="shared" ref="V108" si="31">V$128</f>
        <v>16146432.000000002</v>
      </c>
      <c r="W108" s="34" t="str">
        <f>W107</f>
        <v>Part of DNA</v>
      </c>
      <c r="X108" s="108" t="s">
        <v>45</v>
      </c>
      <c r="Y108" s="34" t="s">
        <v>45</v>
      </c>
      <c r="Z108" s="108">
        <f>Z107</f>
        <v>6509030.3999999994</v>
      </c>
      <c r="AA108" s="404">
        <f>AA107</f>
        <v>0.2</v>
      </c>
      <c r="AB108" s="289">
        <f t="shared" ref="AB108:AB118" si="32">AF108</f>
        <v>16</v>
      </c>
      <c r="AC108">
        <f t="shared" si="25"/>
        <v>100</v>
      </c>
      <c r="AE108" s="119">
        <f t="shared" ref="AE108:AE112" si="33">J$107/J108</f>
        <v>4.0952380952380949</v>
      </c>
      <c r="AF108">
        <f>AF$107*(AH108/AH$107)</f>
        <v>16</v>
      </c>
      <c r="AG108" t="s">
        <v>1308</v>
      </c>
      <c r="AH108">
        <v>80</v>
      </c>
      <c r="AI108" t="s">
        <v>1348</v>
      </c>
      <c r="AJ108" t="s">
        <v>1489</v>
      </c>
    </row>
    <row r="109" spans="2:36" x14ac:dyDescent="0.35">
      <c r="B109">
        <f t="shared" si="23"/>
        <v>101</v>
      </c>
      <c r="C109" s="23" t="s">
        <v>2225</v>
      </c>
      <c r="D109" s="34" t="s">
        <v>1661</v>
      </c>
      <c r="E109" t="str">
        <f>E107</f>
        <v>Motion, sensing, thought, etc.</v>
      </c>
      <c r="F109" t="s">
        <v>408</v>
      </c>
      <c r="G109" s="401" t="s">
        <v>18</v>
      </c>
      <c r="H109" s="401" t="s">
        <v>18</v>
      </c>
      <c r="I109" s="401" t="s">
        <v>1571</v>
      </c>
      <c r="J109" s="128">
        <f t="shared" si="28"/>
        <v>84000</v>
      </c>
      <c r="K109" s="2">
        <f t="shared" si="29"/>
        <v>49350</v>
      </c>
      <c r="L109" s="448">
        <f>L$128</f>
        <v>3.2000000000000001E-2</v>
      </c>
      <c r="M109" s="626" t="s">
        <v>1052</v>
      </c>
      <c r="N109" s="128">
        <f t="shared" si="26"/>
        <v>4200</v>
      </c>
      <c r="O109" s="413">
        <f t="shared" si="30"/>
        <v>6.5116279069767451</v>
      </c>
      <c r="P109" s="129">
        <f t="shared" si="27"/>
        <v>644.99999999999989</v>
      </c>
      <c r="Q109" s="401" t="s">
        <v>18</v>
      </c>
      <c r="R109" s="626" t="s">
        <v>1052</v>
      </c>
      <c r="S109" s="401" t="s">
        <v>18</v>
      </c>
      <c r="T109" s="128" t="s">
        <v>2050</v>
      </c>
      <c r="U109" s="2" t="s">
        <v>1312</v>
      </c>
      <c r="V109" s="128">
        <f>V$128*(AH109/AH$107)</f>
        <v>7669555.2000000002</v>
      </c>
      <c r="W109" s="34" t="str">
        <f>W107</f>
        <v>Part of DNA</v>
      </c>
      <c r="X109" s="108" t="s">
        <v>45</v>
      </c>
      <c r="Y109" s="34" t="s">
        <v>45</v>
      </c>
      <c r="Z109" s="108">
        <f>(N109*(AF$4/AF$6))*N$149*N$150*N$151*N$152*AF109</f>
        <v>1006629.12</v>
      </c>
      <c r="AA109" s="404" t="s">
        <v>18</v>
      </c>
      <c r="AB109" s="289">
        <f t="shared" si="32"/>
        <v>7.6</v>
      </c>
      <c r="AC109">
        <f t="shared" si="25"/>
        <v>101</v>
      </c>
      <c r="AE109" s="119">
        <f t="shared" si="33"/>
        <v>3.0714285714285716</v>
      </c>
      <c r="AF109" s="12">
        <f>AF$107*(AH109/AH$107)</f>
        <v>7.6</v>
      </c>
      <c r="AG109" t="s">
        <v>1308</v>
      </c>
      <c r="AH109">
        <v>38</v>
      </c>
      <c r="AI109" t="s">
        <v>1310</v>
      </c>
      <c r="AJ109" t="s">
        <v>1311</v>
      </c>
    </row>
    <row r="110" spans="2:36" x14ac:dyDescent="0.35">
      <c r="B110">
        <f t="shared" si="23"/>
        <v>102</v>
      </c>
      <c r="C110" s="23" t="s">
        <v>2226</v>
      </c>
      <c r="D110" s="34" t="s">
        <v>1662</v>
      </c>
      <c r="E110" t="str">
        <f>E107</f>
        <v>Motion, sensing, thought, etc.</v>
      </c>
      <c r="F110" t="s">
        <v>973</v>
      </c>
      <c r="G110" s="401" t="s">
        <v>18</v>
      </c>
      <c r="H110" s="401" t="s">
        <v>18</v>
      </c>
      <c r="I110" s="401" t="s">
        <v>1571</v>
      </c>
      <c r="J110" s="128">
        <f t="shared" si="28"/>
        <v>10590</v>
      </c>
      <c r="K110" s="2">
        <f t="shared" si="29"/>
        <v>6221.625</v>
      </c>
      <c r="L110" s="448">
        <f>L$128</f>
        <v>3.2000000000000001E-2</v>
      </c>
      <c r="M110" s="626" t="s">
        <v>1052</v>
      </c>
      <c r="N110" s="128">
        <f t="shared" si="26"/>
        <v>529.5</v>
      </c>
      <c r="O110" s="413">
        <f t="shared" si="30"/>
        <v>0.82093023255813957</v>
      </c>
      <c r="P110" s="129">
        <f t="shared" si="27"/>
        <v>645</v>
      </c>
      <c r="Q110" s="401" t="s">
        <v>18</v>
      </c>
      <c r="R110" s="626" t="s">
        <v>1052</v>
      </c>
      <c r="S110" s="401" t="s">
        <v>18</v>
      </c>
      <c r="T110" s="128" t="s">
        <v>2050</v>
      </c>
      <c r="U110" s="2" t="s">
        <v>1314</v>
      </c>
      <c r="V110" s="128">
        <f>V$128*(AH110/AH$107)</f>
        <v>3027456.0000000005</v>
      </c>
      <c r="W110" s="34" t="str">
        <f>W108</f>
        <v>Part of DNA</v>
      </c>
      <c r="X110" s="108" t="s">
        <v>45</v>
      </c>
      <c r="Y110" s="34" t="s">
        <v>45</v>
      </c>
      <c r="Z110" s="108">
        <f>(N110*(AF$4/AF$6))*N$149*N$150*N$151*N$152*AF110</f>
        <v>50094.935999999994</v>
      </c>
      <c r="AA110" s="404" t="s">
        <v>18</v>
      </c>
      <c r="AB110" s="289">
        <f t="shared" si="32"/>
        <v>3</v>
      </c>
      <c r="AC110">
        <f t="shared" si="25"/>
        <v>102</v>
      </c>
      <c r="AE110" s="119">
        <f>J$107/J110</f>
        <v>24.362606232294617</v>
      </c>
      <c r="AF110" s="12">
        <f>AF$107*(AH110/AH$107)</f>
        <v>3</v>
      </c>
      <c r="AG110" t="s">
        <v>1308</v>
      </c>
      <c r="AH110">
        <v>15</v>
      </c>
      <c r="AI110" t="s">
        <v>1310</v>
      </c>
      <c r="AJ110" t="s">
        <v>1313</v>
      </c>
    </row>
    <row r="111" spans="2:36" x14ac:dyDescent="0.35">
      <c r="B111">
        <f t="shared" si="23"/>
        <v>103</v>
      </c>
      <c r="C111" s="23" t="s">
        <v>2227</v>
      </c>
      <c r="D111" s="34" t="s">
        <v>1663</v>
      </c>
      <c r="E111" t="str">
        <f>E107</f>
        <v>Motion, sensing, thought, etc.</v>
      </c>
      <c r="F111" t="s">
        <v>1409</v>
      </c>
      <c r="G111" s="401" t="s">
        <v>18</v>
      </c>
      <c r="H111" s="401" t="s">
        <v>18</v>
      </c>
      <c r="I111" s="401" t="s">
        <v>1571</v>
      </c>
      <c r="J111" s="128">
        <f t="shared" si="28"/>
        <v>3000</v>
      </c>
      <c r="K111" s="2">
        <f t="shared" si="29"/>
        <v>1762.5</v>
      </c>
      <c r="L111" s="448">
        <f>L$128</f>
        <v>3.2000000000000001E-2</v>
      </c>
      <c r="M111" s="626" t="s">
        <v>1052</v>
      </c>
      <c r="N111" s="128">
        <f t="shared" si="26"/>
        <v>150</v>
      </c>
      <c r="O111" s="413">
        <f t="shared" si="30"/>
        <v>0.23255813953488372</v>
      </c>
      <c r="P111" s="129">
        <f>N111/O111</f>
        <v>645</v>
      </c>
      <c r="Q111" s="401" t="s">
        <v>18</v>
      </c>
      <c r="R111" s="626" t="s">
        <v>1052</v>
      </c>
      <c r="S111" s="401" t="s">
        <v>18</v>
      </c>
      <c r="T111" s="128" t="s">
        <v>2050</v>
      </c>
      <c r="U111" s="2" t="s">
        <v>1413</v>
      </c>
      <c r="V111" s="128">
        <f>V$128*(AH111/AH$107)</f>
        <v>2421964.8000000003</v>
      </c>
      <c r="W111" s="34" t="str">
        <f>W109</f>
        <v>Part of DNA</v>
      </c>
      <c r="X111" s="108" t="s">
        <v>45</v>
      </c>
      <c r="Y111" s="34" t="s">
        <v>45</v>
      </c>
      <c r="Z111" s="108">
        <f>(N111*(AF$4/AF$6))*N$149*N$150*N$151*N$152*AF111</f>
        <v>11352.959999999997</v>
      </c>
      <c r="AA111" s="404" t="s">
        <v>18</v>
      </c>
      <c r="AB111" s="289">
        <f t="shared" si="32"/>
        <v>2.4</v>
      </c>
      <c r="AC111">
        <f t="shared" si="25"/>
        <v>103</v>
      </c>
      <c r="AE111" s="119">
        <f>J$107/J111</f>
        <v>86</v>
      </c>
      <c r="AF111" s="12">
        <f>AF$107*(AH111/AH$107)</f>
        <v>2.4</v>
      </c>
      <c r="AG111" t="s">
        <v>1308</v>
      </c>
      <c r="AH111">
        <v>12</v>
      </c>
      <c r="AI111" t="s">
        <v>1310</v>
      </c>
      <c r="AJ111" t="s">
        <v>1412</v>
      </c>
    </row>
    <row r="112" spans="2:36" x14ac:dyDescent="0.35">
      <c r="B112">
        <f t="shared" si="23"/>
        <v>104</v>
      </c>
      <c r="C112" s="23" t="s">
        <v>2229</v>
      </c>
      <c r="D112" s="430" t="s">
        <v>1664</v>
      </c>
      <c r="E112" t="str">
        <f>E107</f>
        <v>Motion, sensing, thought, etc.</v>
      </c>
      <c r="F112" t="s">
        <v>955</v>
      </c>
      <c r="G112" s="401" t="s">
        <v>18</v>
      </c>
      <c r="H112" s="401" t="s">
        <v>18</v>
      </c>
      <c r="I112" s="401" t="s">
        <v>1571</v>
      </c>
      <c r="J112" s="128">
        <f t="shared" si="28"/>
        <v>212.99999999999997</v>
      </c>
      <c r="K112" s="2">
        <f t="shared" si="29"/>
        <v>125.13749999999999</v>
      </c>
      <c r="L112" s="448">
        <f>L$128/L154</f>
        <v>3.2000000000000003E-4</v>
      </c>
      <c r="M112" s="626" t="s">
        <v>1052</v>
      </c>
      <c r="N112" s="128">
        <f t="shared" si="26"/>
        <v>10.649999999999999</v>
      </c>
      <c r="O112" s="413">
        <f t="shared" si="30"/>
        <v>1.6511627906976745E-2</v>
      </c>
      <c r="P112" s="129">
        <f t="shared" si="27"/>
        <v>644.99999999999989</v>
      </c>
      <c r="Q112" s="401" t="s">
        <v>18</v>
      </c>
      <c r="R112" s="626" t="s">
        <v>1052</v>
      </c>
      <c r="S112" s="401" t="s">
        <v>18</v>
      </c>
      <c r="T112" s="128" t="s">
        <v>2050</v>
      </c>
      <c r="U112" s="2" t="s">
        <v>1696</v>
      </c>
      <c r="V112" s="128">
        <f>(V$128*(AH112/AH$107))/L154</f>
        <v>3027.4560000000001</v>
      </c>
      <c r="W112" s="34" t="str">
        <f>W108</f>
        <v>Part of DNA</v>
      </c>
      <c r="X112" s="108" t="s">
        <v>45</v>
      </c>
      <c r="Y112" s="34" t="s">
        <v>45</v>
      </c>
      <c r="Z112" s="108">
        <f>(N112*(AF$4/AF$6))*N$149*N$150*N$151*N$152*AF112</f>
        <v>100.75751999999999</v>
      </c>
      <c r="AA112" s="404" t="s">
        <v>18</v>
      </c>
      <c r="AB112" s="289">
        <f t="shared" si="32"/>
        <v>0.3</v>
      </c>
      <c r="AC112">
        <f t="shared" si="25"/>
        <v>104</v>
      </c>
      <c r="AE112" s="119">
        <f t="shared" si="33"/>
        <v>1211.267605633803</v>
      </c>
      <c r="AF112" s="12">
        <f t="shared" ref="AF112" si="34">AF$107*(AH112/AH$107)</f>
        <v>0.3</v>
      </c>
      <c r="AG112" t="s">
        <v>1308</v>
      </c>
      <c r="AH112">
        <v>1.5</v>
      </c>
      <c r="AI112" t="s">
        <v>1310</v>
      </c>
      <c r="AJ112" t="s">
        <v>1315</v>
      </c>
    </row>
    <row r="113" spans="2:36" x14ac:dyDescent="0.35">
      <c r="B113">
        <f t="shared" si="23"/>
        <v>105</v>
      </c>
      <c r="C113" s="23" t="s">
        <v>2230</v>
      </c>
      <c r="D113" s="430" t="s">
        <v>1665</v>
      </c>
      <c r="E113" t="s">
        <v>1119</v>
      </c>
      <c r="F113" t="s">
        <v>1129</v>
      </c>
      <c r="G113" s="401" t="s">
        <v>18</v>
      </c>
      <c r="H113" s="401" t="s">
        <v>18</v>
      </c>
      <c r="I113" s="401" t="s">
        <v>1571</v>
      </c>
      <c r="J113" s="128">
        <f t="shared" si="28"/>
        <v>771000</v>
      </c>
      <c r="K113" s="2">
        <f t="shared" si="29"/>
        <v>452962.5</v>
      </c>
      <c r="L113" s="448">
        <f>L$128</f>
        <v>3.2000000000000001E-2</v>
      </c>
      <c r="M113" s="626" t="s">
        <v>1052</v>
      </c>
      <c r="N113" s="128">
        <f t="shared" si="26"/>
        <v>38550</v>
      </c>
      <c r="O113" s="413">
        <f t="shared" si="30"/>
        <v>59.767441860465112</v>
      </c>
      <c r="P113" s="129">
        <f t="shared" si="27"/>
        <v>645</v>
      </c>
      <c r="Q113" s="401" t="s">
        <v>18</v>
      </c>
      <c r="R113" s="626" t="s">
        <v>1052</v>
      </c>
      <c r="S113" s="401" t="s">
        <v>18</v>
      </c>
      <c r="T113" s="128" t="s">
        <v>2050</v>
      </c>
      <c r="U113" s="2" t="s">
        <v>1697</v>
      </c>
      <c r="V113" s="128">
        <f>V$128*(AH113/AH$107)</f>
        <v>11302502.4</v>
      </c>
      <c r="W113" s="34" t="str">
        <f>W109</f>
        <v>Part of DNA</v>
      </c>
      <c r="X113" s="108" t="s">
        <v>45</v>
      </c>
      <c r="Y113" s="34" t="s">
        <v>45</v>
      </c>
      <c r="Z113" s="108">
        <f>(N113*(AF$4/AF$6))*N$149*N$150*N$151*N$152*AF113</f>
        <v>13615983.359999999</v>
      </c>
      <c r="AA113" s="404" t="s">
        <v>18</v>
      </c>
      <c r="AB113" s="289">
        <f t="shared" si="32"/>
        <v>11.2</v>
      </c>
      <c r="AC113">
        <f t="shared" si="25"/>
        <v>105</v>
      </c>
      <c r="AE113" s="119">
        <f>J$107/J113</f>
        <v>0.33463035019455251</v>
      </c>
      <c r="AF113" s="12">
        <f t="shared" ref="AF113:AF118" si="35">AF$107*(AH113/AH$107)</f>
        <v>11.2</v>
      </c>
      <c r="AG113" t="s">
        <v>1308</v>
      </c>
      <c r="AH113">
        <v>56</v>
      </c>
      <c r="AI113" t="s">
        <v>1310</v>
      </c>
      <c r="AJ113" t="s">
        <v>1316</v>
      </c>
    </row>
    <row r="114" spans="2:36" x14ac:dyDescent="0.35">
      <c r="B114">
        <f t="shared" si="23"/>
        <v>106</v>
      </c>
      <c r="C114" s="23" t="s">
        <v>1685</v>
      </c>
      <c r="D114" s="430" t="s">
        <v>1665</v>
      </c>
      <c r="E114" t="s">
        <v>433</v>
      </c>
      <c r="F114" t="s">
        <v>1129</v>
      </c>
      <c r="G114" s="401" t="s">
        <v>18</v>
      </c>
      <c r="H114" s="401" t="s">
        <v>18</v>
      </c>
      <c r="I114" s="401" t="s">
        <v>1571</v>
      </c>
      <c r="J114" s="128">
        <f t="shared" si="28"/>
        <v>16800</v>
      </c>
      <c r="K114" s="2">
        <f t="shared" si="29"/>
        <v>9870</v>
      </c>
      <c r="L114" s="448">
        <f>L$128</f>
        <v>3.2000000000000001E-2</v>
      </c>
      <c r="M114" s="626" t="s">
        <v>1052</v>
      </c>
      <c r="N114" s="128">
        <f t="shared" si="26"/>
        <v>840</v>
      </c>
      <c r="O114" s="413">
        <f t="shared" si="30"/>
        <v>1.3023255813953489</v>
      </c>
      <c r="P114" s="129">
        <f>N114/O114</f>
        <v>645</v>
      </c>
      <c r="Q114" s="401" t="s">
        <v>18</v>
      </c>
      <c r="R114" s="626" t="s">
        <v>1052</v>
      </c>
      <c r="S114" s="401" t="s">
        <v>18</v>
      </c>
      <c r="T114" s="128" t="s">
        <v>2050</v>
      </c>
      <c r="U114" s="2" t="s">
        <v>1697</v>
      </c>
      <c r="V114" s="128">
        <f>V$128*(AH114/AH$107)</f>
        <v>11302502.4</v>
      </c>
      <c r="W114" s="34" t="str">
        <f>W110</f>
        <v>Part of DNA</v>
      </c>
      <c r="X114" s="108" t="s">
        <v>45</v>
      </c>
      <c r="Y114" s="34" t="s">
        <v>45</v>
      </c>
      <c r="Z114" s="108">
        <f>Z113</f>
        <v>13615983.359999999</v>
      </c>
      <c r="AA114" s="404" t="s">
        <v>18</v>
      </c>
      <c r="AB114" s="289">
        <f t="shared" si="32"/>
        <v>11.2</v>
      </c>
      <c r="AC114">
        <f t="shared" si="25"/>
        <v>106</v>
      </c>
      <c r="AE114" s="548">
        <f>J$108/J114</f>
        <v>3.75</v>
      </c>
      <c r="AF114" s="12">
        <f t="shared" si="35"/>
        <v>11.2</v>
      </c>
      <c r="AG114" t="s">
        <v>1308</v>
      </c>
      <c r="AH114">
        <v>56</v>
      </c>
      <c r="AI114" t="s">
        <v>1310</v>
      </c>
      <c r="AJ114" t="s">
        <v>1316</v>
      </c>
    </row>
    <row r="115" spans="2:36" x14ac:dyDescent="0.35">
      <c r="B115">
        <f t="shared" si="23"/>
        <v>107</v>
      </c>
      <c r="C115" s="23" t="s">
        <v>2231</v>
      </c>
      <c r="D115" s="430" t="s">
        <v>1689</v>
      </c>
      <c r="E115" t="s">
        <v>1119</v>
      </c>
      <c r="F115" t="s">
        <v>1687</v>
      </c>
      <c r="G115" s="401" t="s">
        <v>18</v>
      </c>
      <c r="H115" s="401" t="s">
        <v>18</v>
      </c>
      <c r="I115" s="401" t="s">
        <v>1571</v>
      </c>
      <c r="J115" s="128">
        <f t="shared" si="28"/>
        <v>384000</v>
      </c>
      <c r="K115" s="2">
        <f t="shared" si="29"/>
        <v>225600</v>
      </c>
      <c r="L115" s="448">
        <f t="shared" ref="L115:L116" si="36">L$128</f>
        <v>3.2000000000000001E-2</v>
      </c>
      <c r="M115" s="626" t="s">
        <v>1052</v>
      </c>
      <c r="N115" s="128">
        <f t="shared" si="26"/>
        <v>19200</v>
      </c>
      <c r="O115" s="413">
        <f t="shared" si="30"/>
        <v>29.767441860465116</v>
      </c>
      <c r="P115" s="129">
        <f t="shared" ref="P115:P116" si="37">N115/O115</f>
        <v>645</v>
      </c>
      <c r="Q115" s="401" t="s">
        <v>18</v>
      </c>
      <c r="R115" s="626" t="s">
        <v>1052</v>
      </c>
      <c r="S115" s="401" t="s">
        <v>18</v>
      </c>
      <c r="T115" s="128" t="s">
        <v>2050</v>
      </c>
      <c r="U115" s="2" t="s">
        <v>1703</v>
      </c>
      <c r="V115" s="128">
        <f>V$128*(AH115/AH$107)</f>
        <v>12109824.000000002</v>
      </c>
      <c r="W115" s="34" t="str">
        <f t="shared" ref="W115:W118" si="38">W111</f>
        <v>Part of DNA</v>
      </c>
      <c r="X115" s="108" t="s">
        <v>45</v>
      </c>
      <c r="Y115" s="34" t="s">
        <v>45</v>
      </c>
      <c r="Z115" s="108">
        <f>(N115*(AF$4/AF$6))*N$149*N$150*N$151*N$152*AF115</f>
        <v>7265894.3999999985</v>
      </c>
      <c r="AA115" s="404" t="s">
        <v>18</v>
      </c>
      <c r="AB115" s="289">
        <f t="shared" si="32"/>
        <v>12</v>
      </c>
      <c r="AC115">
        <f t="shared" si="25"/>
        <v>107</v>
      </c>
      <c r="AE115" s="119">
        <f>J$107/J115</f>
        <v>0.671875</v>
      </c>
      <c r="AF115" s="12">
        <f t="shared" si="35"/>
        <v>12</v>
      </c>
      <c r="AG115" t="s">
        <v>1308</v>
      </c>
      <c r="AH115">
        <v>60</v>
      </c>
      <c r="AI115" t="s">
        <v>1310</v>
      </c>
      <c r="AJ115" t="s">
        <v>1702</v>
      </c>
    </row>
    <row r="116" spans="2:36" x14ac:dyDescent="0.35">
      <c r="B116">
        <f t="shared" si="23"/>
        <v>108</v>
      </c>
      <c r="C116" s="23" t="s">
        <v>1686</v>
      </c>
      <c r="D116" s="430" t="s">
        <v>1689</v>
      </c>
      <c r="E116" t="s">
        <v>433</v>
      </c>
      <c r="F116" t="s">
        <v>1687</v>
      </c>
      <c r="G116" s="401" t="s">
        <v>18</v>
      </c>
      <c r="H116" s="401" t="s">
        <v>18</v>
      </c>
      <c r="I116" s="401" t="s">
        <v>1571</v>
      </c>
      <c r="J116" s="128">
        <f t="shared" si="28"/>
        <v>111600.00000000001</v>
      </c>
      <c r="K116" s="2">
        <f t="shared" si="29"/>
        <v>65565</v>
      </c>
      <c r="L116" s="448">
        <f t="shared" si="36"/>
        <v>3.2000000000000001E-2</v>
      </c>
      <c r="M116" s="626" t="s">
        <v>1052</v>
      </c>
      <c r="N116" s="128">
        <f t="shared" si="26"/>
        <v>5580.0000000000009</v>
      </c>
      <c r="O116" s="413">
        <f t="shared" si="30"/>
        <v>8.6511627906976756</v>
      </c>
      <c r="P116" s="129">
        <f t="shared" si="37"/>
        <v>645</v>
      </c>
      <c r="Q116" s="401" t="s">
        <v>18</v>
      </c>
      <c r="R116" s="626" t="s">
        <v>1052</v>
      </c>
      <c r="S116" s="401" t="s">
        <v>18</v>
      </c>
      <c r="T116" s="128" t="s">
        <v>2050</v>
      </c>
      <c r="U116" s="2" t="s">
        <v>1703</v>
      </c>
      <c r="V116" s="128">
        <f>V$128*(AH116/AH$107)</f>
        <v>12109824.000000002</v>
      </c>
      <c r="W116" s="34" t="str">
        <f t="shared" si="38"/>
        <v>Part of DNA</v>
      </c>
      <c r="X116" s="108" t="s">
        <v>45</v>
      </c>
      <c r="Y116" s="34" t="s">
        <v>45</v>
      </c>
      <c r="Z116" s="108">
        <f>Z115</f>
        <v>7265894.3999999985</v>
      </c>
      <c r="AA116" s="404" t="s">
        <v>18</v>
      </c>
      <c r="AB116" s="289">
        <f t="shared" si="32"/>
        <v>12</v>
      </c>
      <c r="AC116">
        <f t="shared" si="25"/>
        <v>108</v>
      </c>
      <c r="AE116" s="548">
        <f>J$108/J116</f>
        <v>0.56451612903225801</v>
      </c>
      <c r="AF116" s="12">
        <f t="shared" si="35"/>
        <v>12</v>
      </c>
      <c r="AG116" t="s">
        <v>1308</v>
      </c>
      <c r="AH116">
        <v>60</v>
      </c>
      <c r="AI116" t="s">
        <v>1310</v>
      </c>
      <c r="AJ116" t="s">
        <v>1702</v>
      </c>
    </row>
    <row r="117" spans="2:36" x14ac:dyDescent="0.35">
      <c r="B117">
        <f t="shared" si="23"/>
        <v>109</v>
      </c>
      <c r="C117" s="23" t="s">
        <v>2232</v>
      </c>
      <c r="D117" s="430" t="s">
        <v>1666</v>
      </c>
      <c r="E117" t="s">
        <v>1302</v>
      </c>
      <c r="F117" t="s">
        <v>1161</v>
      </c>
      <c r="G117" s="401" t="s">
        <v>18</v>
      </c>
      <c r="H117" s="401" t="s">
        <v>18</v>
      </c>
      <c r="I117" s="401" t="s">
        <v>1571</v>
      </c>
      <c r="J117" s="411">
        <v>0.05</v>
      </c>
      <c r="K117" s="119">
        <f t="shared" si="29"/>
        <v>0.24675</v>
      </c>
      <c r="L117" s="448">
        <f>L128/L159</f>
        <v>3.1999999999999999E-6</v>
      </c>
      <c r="M117" s="626" t="s">
        <v>1052</v>
      </c>
      <c r="N117" s="411">
        <f>(D159*G159*D$163)/AF$1</f>
        <v>2.5000000000000001E-3</v>
      </c>
      <c r="O117" s="625">
        <f t="shared" si="30"/>
        <v>3.2558139534883718E-5</v>
      </c>
      <c r="P117" s="129">
        <f>N117/O117</f>
        <v>76.785714285714292</v>
      </c>
      <c r="Q117" s="401" t="s">
        <v>18</v>
      </c>
      <c r="R117" s="626" t="s">
        <v>1052</v>
      </c>
      <c r="S117" s="401" t="s">
        <v>18</v>
      </c>
      <c r="T117" s="128" t="s">
        <v>2049</v>
      </c>
      <c r="U117" s="2" t="s">
        <v>1699</v>
      </c>
      <c r="V117" s="157">
        <f>(V$128*(AH117/AH$107))/L159</f>
        <v>2.4883199999999999</v>
      </c>
      <c r="W117" s="34" t="str">
        <f t="shared" si="38"/>
        <v>Part of DNA</v>
      </c>
      <c r="X117" s="108" t="s">
        <v>45</v>
      </c>
      <c r="Y117" s="34" t="s">
        <v>45</v>
      </c>
      <c r="Z117" s="453">
        <f>(N117*(AF$4/AF$6))*N$149*N$150*N$151*N$152*AF117</f>
        <v>1.9439999999999998E-3</v>
      </c>
      <c r="AA117" s="404" t="s">
        <v>18</v>
      </c>
      <c r="AB117" s="628">
        <f t="shared" si="32"/>
        <v>2.4657534246575342E-2</v>
      </c>
      <c r="AC117">
        <f t="shared" si="25"/>
        <v>109</v>
      </c>
      <c r="AD117" t="s">
        <v>1700</v>
      </c>
      <c r="AE117" s="2">
        <f>J$107/J117</f>
        <v>5160000</v>
      </c>
      <c r="AF117" s="12">
        <f t="shared" si="35"/>
        <v>2.4657534246575342E-2</v>
      </c>
      <c r="AG117" t="s">
        <v>1308</v>
      </c>
      <c r="AH117">
        <f>45/365</f>
        <v>0.12328767123287671</v>
      </c>
      <c r="AI117" t="s">
        <v>1310</v>
      </c>
      <c r="AJ117" t="s">
        <v>1318</v>
      </c>
    </row>
    <row r="118" spans="2:36" ht="15" thickBot="1" x14ac:dyDescent="0.4">
      <c r="B118">
        <f t="shared" si="23"/>
        <v>110</v>
      </c>
      <c r="C118" s="23" t="s">
        <v>2233</v>
      </c>
      <c r="D118" s="710" t="s">
        <v>1692</v>
      </c>
      <c r="E118" t="s">
        <v>1302</v>
      </c>
      <c r="F118" t="s">
        <v>45</v>
      </c>
      <c r="G118" s="401" t="s">
        <v>18</v>
      </c>
      <c r="H118" s="401" t="s">
        <v>18</v>
      </c>
      <c r="I118" s="401" t="s">
        <v>1571</v>
      </c>
      <c r="J118" s="547">
        <f>G160/AF3</f>
        <v>7.5000000000000002E-6</v>
      </c>
      <c r="K118" s="625">
        <f t="shared" si="29"/>
        <v>5.3227500000000002E-4</v>
      </c>
      <c r="L118" s="448">
        <f>L124</f>
        <v>3.3333333333333334E-8</v>
      </c>
      <c r="M118" s="626" t="s">
        <v>1052</v>
      </c>
      <c r="N118" s="547">
        <f>(G160*D$163)/AF4</f>
        <v>3.7500000000000001E-7</v>
      </c>
      <c r="O118" s="627">
        <f t="shared" si="30"/>
        <v>7.0232558139534876E-8</v>
      </c>
      <c r="P118" s="129">
        <f>N118/O118</f>
        <v>5.3394039735099348</v>
      </c>
      <c r="Q118" s="401" t="s">
        <v>18</v>
      </c>
      <c r="R118" s="626" t="s">
        <v>1052</v>
      </c>
      <c r="S118" s="401" t="s">
        <v>18</v>
      </c>
      <c r="T118" s="128" t="s">
        <v>2049</v>
      </c>
      <c r="U118" s="2" t="s">
        <v>1698</v>
      </c>
      <c r="V118" s="411">
        <f>(V$128*(AH118/AH$107))/L160</f>
        <v>1.0107692307692309E-2</v>
      </c>
      <c r="W118" s="34" t="str">
        <f t="shared" si="38"/>
        <v>Part of DNA</v>
      </c>
      <c r="X118" s="108" t="s">
        <v>45</v>
      </c>
      <c r="Y118" s="34" t="s">
        <v>45</v>
      </c>
      <c r="Z118" s="448">
        <f>(N118*(AF$4/AF$6))*N$149*N$150*N$151*N$152*AF118</f>
        <v>1.1371153846153847E-7</v>
      </c>
      <c r="AA118" s="404" t="s">
        <v>18</v>
      </c>
      <c r="AB118" s="628">
        <f t="shared" si="32"/>
        <v>9.6153846153846159E-3</v>
      </c>
      <c r="AC118">
        <f t="shared" si="25"/>
        <v>110</v>
      </c>
      <c r="AD118" t="s">
        <v>1701</v>
      </c>
      <c r="AE118" s="2">
        <f>J$107/J118</f>
        <v>34400000000</v>
      </c>
      <c r="AF118" s="12">
        <f t="shared" si="35"/>
        <v>9.6153846153846159E-3</v>
      </c>
      <c r="AG118" t="s">
        <v>1308</v>
      </c>
      <c r="AH118">
        <f>2.5/52</f>
        <v>4.807692307692308E-2</v>
      </c>
      <c r="AI118" t="s">
        <v>1310</v>
      </c>
      <c r="AJ118" t="s">
        <v>1695</v>
      </c>
    </row>
    <row r="119" spans="2:36" ht="21.5" thickTop="1" x14ac:dyDescent="0.5">
      <c r="B119">
        <f t="shared" si="23"/>
        <v>111</v>
      </c>
      <c r="C119" s="702" t="str">
        <f>KeyChips!C75</f>
        <v xml:space="preserve">Likely minimum specs for human level AGI capable computer </v>
      </c>
      <c r="D119" s="618"/>
      <c r="E119" s="461"/>
      <c r="F119" s="461"/>
      <c r="G119" s="471"/>
      <c r="H119" s="471"/>
      <c r="I119" s="471"/>
      <c r="J119" s="619"/>
      <c r="K119" s="620"/>
      <c r="L119" s="621"/>
      <c r="M119" s="621"/>
      <c r="N119" s="619"/>
      <c r="O119" s="619"/>
      <c r="P119" s="463"/>
      <c r="Q119" s="471"/>
      <c r="R119" s="621"/>
      <c r="S119" s="471"/>
      <c r="T119" s="462"/>
      <c r="U119" s="462"/>
      <c r="V119" s="622"/>
      <c r="W119" s="463"/>
      <c r="X119" s="463"/>
      <c r="Y119" s="463"/>
      <c r="Z119" s="621"/>
      <c r="AA119" s="623"/>
      <c r="AB119" s="624"/>
      <c r="AC119">
        <f t="shared" si="25"/>
        <v>111</v>
      </c>
      <c r="AE119" s="2"/>
      <c r="AF119" s="12"/>
    </row>
    <row r="120" spans="2:36" x14ac:dyDescent="0.35">
      <c r="B120">
        <f t="shared" si="23"/>
        <v>112</v>
      </c>
      <c r="C120" s="23" t="str">
        <f>KeyChips!C76</f>
        <v>Min. AGI inference computer if B100 +40TB HBM is required</v>
      </c>
      <c r="D120" s="7" t="str">
        <f>KeyChips!D76</f>
        <v>Doable 2025</v>
      </c>
      <c r="E120" t="str">
        <f>KeyChips!$E$76</f>
        <v>Likely minimum computer to run AGI</v>
      </c>
      <c r="F120" t="s">
        <v>1804</v>
      </c>
      <c r="G120" s="401" t="s">
        <v>45</v>
      </c>
      <c r="H120" s="508" t="s">
        <v>18</v>
      </c>
      <c r="I120" s="508" t="s">
        <v>1616</v>
      </c>
      <c r="J120" s="108">
        <f>K120*(1/J$176)</f>
        <v>66986.666666666672</v>
      </c>
      <c r="K120" s="2">
        <f>KeyChips!J76</f>
        <v>40192</v>
      </c>
      <c r="L120" s="108">
        <f>KeyChips!M76</f>
        <v>8000</v>
      </c>
      <c r="M120" s="34">
        <v>1</v>
      </c>
      <c r="N120" s="108">
        <f>KeyChips!X76</f>
        <v>14000</v>
      </c>
      <c r="O120" s="34">
        <f>KeyChips!T76</f>
        <v>20700</v>
      </c>
      <c r="P120" s="534">
        <f t="shared" si="27"/>
        <v>0.67632850241545894</v>
      </c>
      <c r="Q120" s="401">
        <f>KeyChips!P76</f>
        <v>432500</v>
      </c>
      <c r="R120" s="34" t="s">
        <v>45</v>
      </c>
      <c r="S120" s="34" t="s">
        <v>45</v>
      </c>
      <c r="T120" s="108" t="s">
        <v>45</v>
      </c>
      <c r="U120" s="34" t="s">
        <v>45</v>
      </c>
      <c r="V120" s="108" t="s">
        <v>45</v>
      </c>
      <c r="W120" s="34" t="str">
        <f>W24</f>
        <v>6000-10000?</v>
      </c>
      <c r="X120" s="108" t="str">
        <f>X24</f>
        <v>&gt;360?</v>
      </c>
      <c r="Y120" s="92" t="str">
        <f>Y24</f>
        <v>&gt;120</v>
      </c>
      <c r="Z120" s="108" t="s">
        <v>45</v>
      </c>
      <c r="AA120" s="401" t="str">
        <f>AA26</f>
        <v>?</v>
      </c>
      <c r="AB120" s="289" t="s">
        <v>45</v>
      </c>
      <c r="AC120">
        <f t="shared" si="25"/>
        <v>112</v>
      </c>
    </row>
    <row r="121" spans="2:36" x14ac:dyDescent="0.35">
      <c r="B121">
        <f t="shared" si="23"/>
        <v>113</v>
      </c>
      <c r="C121" s="23" t="str">
        <f>KeyChips!C77</f>
        <v>Min. AGI inference computer if B100 +4TB HBM is required</v>
      </c>
      <c r="D121" s="7" t="str">
        <f>KeyChips!D77</f>
        <v>Doable 2025</v>
      </c>
      <c r="E121" t="str">
        <f>KeyChips!$E$76</f>
        <v>Likely minimum computer to run AGI</v>
      </c>
      <c r="F121" t="s">
        <v>1804</v>
      </c>
      <c r="G121" s="401" t="s">
        <v>45</v>
      </c>
      <c r="H121" s="508" t="s">
        <v>18</v>
      </c>
      <c r="I121" s="508" t="s">
        <v>1616</v>
      </c>
      <c r="J121" s="108">
        <f>K121*(1/J$176)</f>
        <v>6986.666666666667</v>
      </c>
      <c r="K121" s="2">
        <f>KeyChips!J77</f>
        <v>4192</v>
      </c>
      <c r="L121" s="108">
        <f>KeyChips!M77</f>
        <v>8000</v>
      </c>
      <c r="M121" s="34">
        <v>1</v>
      </c>
      <c r="N121" s="108">
        <f>KeyChips!X77</f>
        <v>14000</v>
      </c>
      <c r="O121" s="34">
        <f>KeyChips!T77</f>
        <v>2700</v>
      </c>
      <c r="P121" s="534">
        <f t="shared" ref="P121" si="39">N121/O121</f>
        <v>5.1851851851851851</v>
      </c>
      <c r="Q121" s="401">
        <f>KeyChips!P77</f>
        <v>72500</v>
      </c>
      <c r="R121" s="34" t="s">
        <v>45</v>
      </c>
      <c r="S121" s="34" t="s">
        <v>45</v>
      </c>
      <c r="T121" s="108" t="s">
        <v>45</v>
      </c>
      <c r="U121" s="34" t="s">
        <v>45</v>
      </c>
      <c r="V121" s="108" t="s">
        <v>45</v>
      </c>
      <c r="W121" s="34" t="str">
        <f>W24</f>
        <v>6000-10000?</v>
      </c>
      <c r="X121" s="108" t="str">
        <f>X24</f>
        <v>&gt;360?</v>
      </c>
      <c r="Y121" s="92" t="str">
        <f>Y24</f>
        <v>&gt;120</v>
      </c>
      <c r="Z121" s="108" t="s">
        <v>45</v>
      </c>
      <c r="AA121" s="401" t="str">
        <f>AA26</f>
        <v>?</v>
      </c>
      <c r="AB121" s="289" t="s">
        <v>45</v>
      </c>
      <c r="AC121">
        <f t="shared" si="25"/>
        <v>113</v>
      </c>
    </row>
    <row r="122" spans="2:36" ht="15" thickBot="1" x14ac:dyDescent="0.4">
      <c r="B122">
        <f t="shared" si="23"/>
        <v>114</v>
      </c>
      <c r="C122" s="23" t="str">
        <f>KeyChips!$C$78</f>
        <v>15*4 TB SSD disks doing 7.4GB/s each</v>
      </c>
      <c r="D122" s="7" t="str">
        <f>KeyChips!$D$78</f>
        <v>Reality 2024</v>
      </c>
      <c r="E122" t="str">
        <f>KeyChips!$E$78</f>
        <v>SSD for minimum AGI, 6.1 min. boot time</v>
      </c>
      <c r="G122" s="401" t="s">
        <v>45</v>
      </c>
      <c r="H122" s="508" t="s">
        <v>18</v>
      </c>
      <c r="I122" s="401" t="s">
        <v>45</v>
      </c>
      <c r="J122" s="108" t="s">
        <v>45</v>
      </c>
      <c r="K122" s="2">
        <f>15*4*AF1</f>
        <v>60000</v>
      </c>
      <c r="L122" s="108">
        <f>7.4*15</f>
        <v>111</v>
      </c>
      <c r="M122" s="34" t="s">
        <v>45</v>
      </c>
      <c r="N122" s="108" t="s">
        <v>45</v>
      </c>
      <c r="O122" s="34" t="s">
        <v>1078</v>
      </c>
      <c r="P122" s="534" t="s">
        <v>45</v>
      </c>
      <c r="Q122" s="401">
        <f>KeyChips!P78</f>
        <v>4035</v>
      </c>
      <c r="R122" s="34" t="s">
        <v>45</v>
      </c>
      <c r="S122" s="34" t="s">
        <v>45</v>
      </c>
      <c r="T122" s="108" t="s">
        <v>45</v>
      </c>
      <c r="U122" s="34" t="s">
        <v>45</v>
      </c>
      <c r="V122" s="108" t="s">
        <v>45</v>
      </c>
      <c r="W122" s="34" t="s">
        <v>45</v>
      </c>
      <c r="X122" s="108" t="s">
        <v>45</v>
      </c>
      <c r="Y122" s="92" t="s">
        <v>45</v>
      </c>
      <c r="Z122" s="108" t="s">
        <v>45</v>
      </c>
      <c r="AA122" s="401" t="s">
        <v>45</v>
      </c>
      <c r="AB122" s="289" t="s">
        <v>45</v>
      </c>
      <c r="AC122">
        <f t="shared" si="25"/>
        <v>114</v>
      </c>
    </row>
    <row r="123" spans="2:36" ht="21.5" thickTop="1" x14ac:dyDescent="0.5">
      <c r="B123">
        <f t="shared" si="23"/>
        <v>115</v>
      </c>
      <c r="C123" s="702" t="s">
        <v>2052</v>
      </c>
      <c r="D123" s="618"/>
      <c r="E123" s="461"/>
      <c r="F123" s="461"/>
      <c r="G123" s="471"/>
      <c r="H123" s="471"/>
      <c r="I123" s="471"/>
      <c r="J123" s="619"/>
      <c r="K123" s="620"/>
      <c r="L123" s="621"/>
      <c r="M123" s="621"/>
      <c r="N123" s="619"/>
      <c r="O123" s="619"/>
      <c r="P123" s="463"/>
      <c r="Q123" s="471"/>
      <c r="R123" s="621"/>
      <c r="S123" s="471"/>
      <c r="T123" s="462"/>
      <c r="U123" s="462"/>
      <c r="V123" s="622"/>
      <c r="W123" s="463"/>
      <c r="X123" s="463"/>
      <c r="Y123" s="463"/>
      <c r="Z123" s="621"/>
      <c r="AA123" s="623"/>
      <c r="AB123" s="624"/>
      <c r="AC123">
        <f t="shared" si="25"/>
        <v>115</v>
      </c>
      <c r="AE123" s="2"/>
      <c r="AF123" s="12"/>
    </row>
    <row r="124" spans="2:36" x14ac:dyDescent="0.35">
      <c r="B124">
        <f t="shared" si="23"/>
        <v>116</v>
      </c>
      <c r="C124" s="23" t="s">
        <v>969</v>
      </c>
      <c r="D124" s="262"/>
      <c r="E124" s="372"/>
      <c r="F124" s="260"/>
      <c r="G124" s="260"/>
      <c r="H124" s="260"/>
      <c r="I124" s="260"/>
      <c r="J124" s="108" t="s">
        <v>45</v>
      </c>
      <c r="K124" s="34">
        <f>N153*N152*N151*N150*K199/AF3</f>
        <v>16.819199999999999</v>
      </c>
      <c r="L124" s="448">
        <f>K195/AF3</f>
        <v>3.3333333333333334E-8</v>
      </c>
      <c r="M124" s="626" t="s">
        <v>45</v>
      </c>
      <c r="N124" s="108" t="s">
        <v>45</v>
      </c>
      <c r="O124" s="34" t="s">
        <v>45</v>
      </c>
      <c r="P124" s="108" t="s">
        <v>45</v>
      </c>
      <c r="Q124" s="34" t="s">
        <v>45</v>
      </c>
      <c r="R124" s="34" t="s">
        <v>45</v>
      </c>
      <c r="S124" s="34" t="s">
        <v>45</v>
      </c>
      <c r="T124" s="108">
        <f>($K124*$AF$3)/$K$202</f>
        <v>4204799999.9999995</v>
      </c>
      <c r="U124" s="130" t="s">
        <v>45</v>
      </c>
      <c r="V124" s="108">
        <f t="shared" ref="V124:V129" si="40">K124</f>
        <v>16.819199999999999</v>
      </c>
      <c r="W124" s="34" t="s">
        <v>45</v>
      </c>
      <c r="X124" s="108" t="s">
        <v>45</v>
      </c>
      <c r="Y124" s="34" t="s">
        <v>45</v>
      </c>
      <c r="Z124" s="108" t="s">
        <v>45</v>
      </c>
      <c r="AA124" s="404" t="s">
        <v>45</v>
      </c>
      <c r="AB124" s="289" t="s">
        <v>1886</v>
      </c>
      <c r="AC124">
        <f t="shared" si="25"/>
        <v>116</v>
      </c>
      <c r="AE124" s="2">
        <v>1</v>
      </c>
      <c r="AF124">
        <f>V124/(T124/AF3)</f>
        <v>4</v>
      </c>
    </row>
    <row r="125" spans="2:36" x14ac:dyDescent="0.35">
      <c r="B125">
        <f t="shared" si="23"/>
        <v>117</v>
      </c>
      <c r="C125" s="23" t="s">
        <v>993</v>
      </c>
      <c r="D125" s="262"/>
      <c r="E125" s="372"/>
      <c r="F125" s="260"/>
      <c r="G125" s="260"/>
      <c r="H125" s="260"/>
      <c r="I125" s="260"/>
      <c r="J125" s="108" t="s">
        <v>45</v>
      </c>
      <c r="K125" s="34">
        <f>N148*N151*N152*N153</f>
        <v>48355.199999999997</v>
      </c>
      <c r="L125" s="448">
        <f>(N148/(N150*N149))</f>
        <v>9.5833333333333323E-5</v>
      </c>
      <c r="M125" s="34" t="s">
        <v>45</v>
      </c>
      <c r="N125" s="108" t="s">
        <v>45</v>
      </c>
      <c r="O125" s="34" t="s">
        <v>45</v>
      </c>
      <c r="P125" s="108" t="s">
        <v>45</v>
      </c>
      <c r="Q125" s="34" t="s">
        <v>45</v>
      </c>
      <c r="R125" s="34" t="s">
        <v>45</v>
      </c>
      <c r="S125" s="34" t="s">
        <v>45</v>
      </c>
      <c r="T125" s="697" t="s">
        <v>45</v>
      </c>
      <c r="U125" s="34" t="s">
        <v>45</v>
      </c>
      <c r="V125" s="108">
        <f t="shared" si="40"/>
        <v>48355.199999999997</v>
      </c>
      <c r="W125" s="34" t="s">
        <v>45</v>
      </c>
      <c r="X125" s="108" t="s">
        <v>45</v>
      </c>
      <c r="Y125" s="34" t="s">
        <v>45</v>
      </c>
      <c r="Z125" s="108" t="s">
        <v>45</v>
      </c>
      <c r="AA125" s="404" t="s">
        <v>45</v>
      </c>
      <c r="AB125" s="289" t="s">
        <v>1886</v>
      </c>
      <c r="AC125">
        <f t="shared" si="25"/>
        <v>117</v>
      </c>
      <c r="AE125" s="2">
        <f>L125/L124</f>
        <v>2874.9999999999995</v>
      </c>
    </row>
    <row r="126" spans="2:36" x14ac:dyDescent="0.35">
      <c r="B126">
        <f t="shared" si="23"/>
        <v>118</v>
      </c>
      <c r="C126" s="23" t="s">
        <v>2124</v>
      </c>
      <c r="D126" s="262"/>
      <c r="E126" s="372"/>
      <c r="F126" s="372"/>
      <c r="G126" s="260"/>
      <c r="H126" s="260"/>
      <c r="I126" s="260"/>
      <c r="J126" s="108" t="s">
        <v>45</v>
      </c>
      <c r="K126" s="34">
        <f>N146*0.1*N151*N152*N153</f>
        <v>13175.04</v>
      </c>
      <c r="L126" s="448">
        <f>N146/(N150*N149*10)</f>
        <v>2.611111111111111E-5</v>
      </c>
      <c r="M126" s="34" t="s">
        <v>45</v>
      </c>
      <c r="N126" s="108" t="s">
        <v>45</v>
      </c>
      <c r="O126" s="34" t="s">
        <v>45</v>
      </c>
      <c r="P126" s="108" t="s">
        <v>45</v>
      </c>
      <c r="Q126" s="34" t="s">
        <v>45</v>
      </c>
      <c r="R126" s="34" t="s">
        <v>45</v>
      </c>
      <c r="S126" s="34" t="s">
        <v>45</v>
      </c>
      <c r="T126" s="108">
        <f>(U$104*(V126/V$104))*AF$3</f>
        <v>205860000000</v>
      </c>
      <c r="U126" s="34" t="s">
        <v>45</v>
      </c>
      <c r="V126" s="108">
        <f t="shared" si="40"/>
        <v>13175.04</v>
      </c>
      <c r="W126" s="34" t="s">
        <v>45</v>
      </c>
      <c r="X126" s="108" t="s">
        <v>45</v>
      </c>
      <c r="Y126" s="34" t="s">
        <v>45</v>
      </c>
      <c r="Z126" s="108" t="s">
        <v>45</v>
      </c>
      <c r="AA126" s="404" t="s">
        <v>45</v>
      </c>
      <c r="AB126" s="289" t="s">
        <v>1886</v>
      </c>
      <c r="AC126">
        <f t="shared" si="25"/>
        <v>118</v>
      </c>
      <c r="AE126" s="2">
        <f>L126/L124</f>
        <v>783.33333333333326</v>
      </c>
      <c r="AF126">
        <f>(V126*AF3)/T126</f>
        <v>64</v>
      </c>
    </row>
    <row r="127" spans="2:36" x14ac:dyDescent="0.35">
      <c r="B127">
        <f t="shared" si="23"/>
        <v>119</v>
      </c>
      <c r="C127" s="23" t="s">
        <v>1306</v>
      </c>
      <c r="D127" s="262"/>
      <c r="E127" s="372"/>
      <c r="F127" s="260"/>
      <c r="G127" s="260"/>
      <c r="H127" s="260"/>
      <c r="I127" s="260"/>
      <c r="J127" s="108" t="s">
        <v>45</v>
      </c>
      <c r="K127" s="2">
        <f>N145*N151*N152*N153</f>
        <v>4036608.0000000005</v>
      </c>
      <c r="L127" s="448">
        <f>N145/(N150*N149)</f>
        <v>8.0000000000000002E-3</v>
      </c>
      <c r="M127" s="34" t="s">
        <v>45</v>
      </c>
      <c r="N127" s="108" t="s">
        <v>45</v>
      </c>
      <c r="O127" s="34" t="s">
        <v>45</v>
      </c>
      <c r="P127" s="108" t="s">
        <v>45</v>
      </c>
      <c r="Q127" s="34" t="s">
        <v>45</v>
      </c>
      <c r="R127" s="34" t="s">
        <v>45</v>
      </c>
      <c r="S127" s="34" t="s">
        <v>45</v>
      </c>
      <c r="T127" s="697">
        <f>(U$104*(V127/V$104))*AF$3</f>
        <v>63072000000000.008</v>
      </c>
      <c r="U127" s="34" t="s">
        <v>45</v>
      </c>
      <c r="V127" s="108">
        <f t="shared" si="40"/>
        <v>4036608.0000000005</v>
      </c>
      <c r="W127" s="34" t="s">
        <v>45</v>
      </c>
      <c r="X127" s="108" t="s">
        <v>45</v>
      </c>
      <c r="Y127" s="34" t="s">
        <v>45</v>
      </c>
      <c r="Z127" s="108" t="s">
        <v>45</v>
      </c>
      <c r="AA127" s="404" t="s">
        <v>45</v>
      </c>
      <c r="AB127" s="289" t="s">
        <v>1886</v>
      </c>
      <c r="AC127">
        <f t="shared" si="25"/>
        <v>119</v>
      </c>
      <c r="AE127" s="2">
        <f>L127/L124</f>
        <v>240000</v>
      </c>
    </row>
    <row r="128" spans="2:36" x14ac:dyDescent="0.35">
      <c r="B128">
        <f t="shared" si="23"/>
        <v>120</v>
      </c>
      <c r="C128" s="23" t="s">
        <v>2040</v>
      </c>
      <c r="D128" s="262"/>
      <c r="E128" s="372"/>
      <c r="F128" s="372"/>
      <c r="G128" s="260"/>
      <c r="H128" s="260"/>
      <c r="I128" s="260"/>
      <c r="J128" s="108"/>
      <c r="K128" s="34">
        <f>K127*4</f>
        <v>16146432.000000002</v>
      </c>
      <c r="L128" s="448">
        <f>L127*4</f>
        <v>3.2000000000000001E-2</v>
      </c>
      <c r="M128" s="34" t="s">
        <v>45</v>
      </c>
      <c r="N128" s="108" t="s">
        <v>45</v>
      </c>
      <c r="O128" s="34" t="s">
        <v>45</v>
      </c>
      <c r="P128" s="108" t="s">
        <v>45</v>
      </c>
      <c r="Q128" s="34" t="s">
        <v>45</v>
      </c>
      <c r="R128" s="34" t="s">
        <v>45</v>
      </c>
      <c r="S128" s="34" t="s">
        <v>45</v>
      </c>
      <c r="T128" s="697">
        <f>(U$104*(V128/V$104))*AF$3</f>
        <v>252288000000000.03</v>
      </c>
      <c r="U128" s="34" t="s">
        <v>45</v>
      </c>
      <c r="V128" s="108">
        <f t="shared" si="40"/>
        <v>16146432.000000002</v>
      </c>
      <c r="W128" s="34" t="s">
        <v>45</v>
      </c>
      <c r="X128" s="108" t="s">
        <v>45</v>
      </c>
      <c r="Y128" s="34" t="s">
        <v>45</v>
      </c>
      <c r="Z128" s="108" t="s">
        <v>45</v>
      </c>
      <c r="AA128" s="404" t="s">
        <v>45</v>
      </c>
      <c r="AB128" s="289" t="s">
        <v>1886</v>
      </c>
      <c r="AC128">
        <f t="shared" si="25"/>
        <v>120</v>
      </c>
      <c r="AE128" s="2">
        <f>L128/L124</f>
        <v>960000</v>
      </c>
    </row>
    <row r="129" spans="2:31" ht="15" thickBot="1" x14ac:dyDescent="0.4">
      <c r="B129">
        <f t="shared" si="23"/>
        <v>121</v>
      </c>
      <c r="C129" s="27" t="s">
        <v>1414</v>
      </c>
      <c r="D129" s="481"/>
      <c r="E129" s="392" t="s">
        <v>1415</v>
      </c>
      <c r="F129" s="392" t="s">
        <v>1425</v>
      </c>
      <c r="G129" s="393"/>
      <c r="H129" s="393"/>
      <c r="I129" s="393"/>
      <c r="J129" s="671" t="s">
        <v>45</v>
      </c>
      <c r="K129" s="673">
        <v>1000000000</v>
      </c>
      <c r="L129" s="696" t="s">
        <v>45</v>
      </c>
      <c r="M129" s="693" t="s">
        <v>45</v>
      </c>
      <c r="N129" s="696" t="s">
        <v>45</v>
      </c>
      <c r="O129" s="693" t="s">
        <v>45</v>
      </c>
      <c r="P129" s="696" t="s">
        <v>45</v>
      </c>
      <c r="Q129" s="693" t="s">
        <v>45</v>
      </c>
      <c r="R129" s="693" t="s">
        <v>45</v>
      </c>
      <c r="S129" s="693" t="s">
        <v>45</v>
      </c>
      <c r="T129" s="698">
        <f>(U$104*(V129/V$104))*AF$3</f>
        <v>1.5625E+16</v>
      </c>
      <c r="U129" s="673" t="s">
        <v>45</v>
      </c>
      <c r="V129" s="671">
        <f t="shared" si="40"/>
        <v>1000000000</v>
      </c>
      <c r="W129" s="673" t="s">
        <v>45</v>
      </c>
      <c r="X129" s="671" t="s">
        <v>45</v>
      </c>
      <c r="Y129" s="673" t="s">
        <v>45</v>
      </c>
      <c r="Z129" s="671" t="s">
        <v>45</v>
      </c>
      <c r="AA129" s="694" t="s">
        <v>45</v>
      </c>
      <c r="AB129" s="695" t="s">
        <v>45</v>
      </c>
      <c r="AC129">
        <f t="shared" si="25"/>
        <v>121</v>
      </c>
      <c r="AE129" s="2"/>
    </row>
    <row r="130" spans="2:31" ht="15" thickTop="1" x14ac:dyDescent="0.35">
      <c r="C130" s="44"/>
      <c r="D130" s="31"/>
      <c r="E130" s="31"/>
      <c r="F130" s="31"/>
      <c r="G130" s="31"/>
      <c r="H130" s="31"/>
      <c r="I130" s="31"/>
      <c r="J130" s="482">
        <f>J16/J107</f>
        <v>6.9767441860465115E-3</v>
      </c>
      <c r="K130" s="31" t="s">
        <v>1419</v>
      </c>
      <c r="L130" s="386">
        <f>L23/L107</f>
        <v>500000</v>
      </c>
      <c r="M130" s="31" t="s">
        <v>1421</v>
      </c>
      <c r="N130" s="33">
        <f>N120/N107</f>
        <v>1.0852713178294573</v>
      </c>
      <c r="O130" s="31" t="s">
        <v>1423</v>
      </c>
      <c r="P130" s="31"/>
      <c r="Q130" s="31"/>
      <c r="R130" s="31"/>
      <c r="S130" s="31"/>
      <c r="T130" s="31"/>
      <c r="U130" s="31"/>
      <c r="V130" s="482">
        <f>V16/V107</f>
        <v>3.2205257483510904E-3</v>
      </c>
      <c r="W130" s="31" t="s">
        <v>1424</v>
      </c>
      <c r="X130" s="31"/>
      <c r="Y130" s="31"/>
      <c r="Z130" s="480">
        <f>Z16/Z107</f>
        <v>3.2262869750923273</v>
      </c>
      <c r="AA130" s="32" t="s">
        <v>1424</v>
      </c>
      <c r="AB130" s="32"/>
    </row>
    <row r="131" spans="2:31" x14ac:dyDescent="0.35">
      <c r="C131" s="44"/>
      <c r="D131" s="31"/>
      <c r="E131" s="31"/>
      <c r="F131" s="31"/>
      <c r="G131" s="386">
        <f>F137</f>
        <v>81811.263318112629</v>
      </c>
      <c r="H131" s="31"/>
      <c r="I131" s="31"/>
      <c r="J131" s="482">
        <f>J16/J108</f>
        <v>2.8571428571428571E-2</v>
      </c>
      <c r="K131" s="31" t="s">
        <v>1420</v>
      </c>
      <c r="L131" s="691">
        <f>L23/L124</f>
        <v>480000000000</v>
      </c>
      <c r="M131" s="31" t="s">
        <v>1422</v>
      </c>
      <c r="N131" s="33"/>
      <c r="O131" s="31"/>
      <c r="P131" s="31"/>
      <c r="Q131" s="31"/>
      <c r="R131" s="31"/>
      <c r="S131" s="31"/>
      <c r="T131" s="31"/>
      <c r="U131" s="31"/>
      <c r="V131" s="130">
        <f>V104/V107</f>
        <v>35.673515981735157</v>
      </c>
      <c r="W131" s="31" t="s">
        <v>1677</v>
      </c>
      <c r="X131" s="31"/>
      <c r="Y131" s="31"/>
      <c r="Z131" s="480"/>
      <c r="AA131" s="32"/>
      <c r="AB131" s="32"/>
    </row>
    <row r="132" spans="2:31" x14ac:dyDescent="0.35">
      <c r="J132" s="297" t="s">
        <v>1123</v>
      </c>
    </row>
    <row r="133" spans="2:31" x14ac:dyDescent="0.35">
      <c r="C133" s="8" t="s">
        <v>966</v>
      </c>
      <c r="E133" s="2">
        <f>N149*N150*N151*N152*N153</f>
        <v>504576000</v>
      </c>
      <c r="G133" s="7" t="s">
        <v>1075</v>
      </c>
      <c r="H133" s="7"/>
      <c r="I133" s="7"/>
      <c r="L133" s="116" t="s">
        <v>1534</v>
      </c>
      <c r="M133" s="116"/>
      <c r="N133" s="116"/>
      <c r="O133" s="116"/>
      <c r="P133" s="116"/>
      <c r="Q133" s="116"/>
      <c r="R133" s="116"/>
      <c r="S133" s="116"/>
      <c r="T133" s="116"/>
      <c r="U133" s="116"/>
      <c r="V133" s="116"/>
      <c r="W133" s="116"/>
      <c r="X133" s="116"/>
      <c r="AA133" s="24">
        <f>K120/L122</f>
        <v>362.09009009009009</v>
      </c>
      <c r="AB133" s="24"/>
    </row>
    <row r="134" spans="2:31" x14ac:dyDescent="0.35">
      <c r="C134" s="8" t="s">
        <v>967</v>
      </c>
      <c r="E134" s="723">
        <f>E133*60</f>
        <v>30274560000</v>
      </c>
      <c r="G134" s="7" t="s">
        <v>1076</v>
      </c>
      <c r="H134" s="7"/>
      <c r="I134" s="7"/>
      <c r="J134" t="s">
        <v>478</v>
      </c>
      <c r="K134" t="s">
        <v>45</v>
      </c>
      <c r="L134" s="117"/>
      <c r="M134" s="116"/>
      <c r="N134" s="1" t="s">
        <v>470</v>
      </c>
      <c r="O134" s="1"/>
      <c r="P134" s="1"/>
      <c r="Q134" s="1"/>
      <c r="R134" s="1"/>
      <c r="S134" s="1"/>
      <c r="T134" s="1"/>
      <c r="U134" s="1"/>
      <c r="V134" s="1"/>
      <c r="W134" s="1"/>
      <c r="X134" s="1"/>
      <c r="Y134" s="1"/>
      <c r="Z134" s="1"/>
      <c r="AA134" s="12">
        <f>AA133/60</f>
        <v>6.0348348348348351</v>
      </c>
      <c r="AB134" s="12"/>
    </row>
    <row r="135" spans="2:31" x14ac:dyDescent="0.35">
      <c r="C135" s="8" t="s">
        <v>1117</v>
      </c>
      <c r="E135" s="2">
        <f>N149*N150*N151*N152*N153*0.1</f>
        <v>50457600</v>
      </c>
      <c r="J135" s="105" t="s">
        <v>475</v>
      </c>
      <c r="N135" s="1"/>
      <c r="O135" s="1"/>
      <c r="P135" s="1"/>
      <c r="Q135" s="1"/>
      <c r="R135" s="1"/>
      <c r="S135" s="1"/>
      <c r="T135" s="1"/>
      <c r="U135" s="91">
        <f>1080*2000*8*60</f>
        <v>1036800000</v>
      </c>
      <c r="V135" s="1" t="s">
        <v>469</v>
      </c>
      <c r="W135" s="1"/>
      <c r="X135" s="1"/>
      <c r="Y135" s="1"/>
      <c r="Z135" s="1"/>
      <c r="AA135" s="24">
        <f>K107*(1/J$174)</f>
        <v>63156.25</v>
      </c>
      <c r="AB135" s="24"/>
    </row>
    <row r="136" spans="2:31" x14ac:dyDescent="0.35">
      <c r="C136" s="8" t="s">
        <v>1139</v>
      </c>
      <c r="E136" s="2">
        <f>N149*N150*(N151-N141)*N152*N143*0.1</f>
        <v>37843200</v>
      </c>
      <c r="AA136">
        <f>(N$140-N$141)*N$142*N$143*N$146</f>
        <v>98812.799999999988</v>
      </c>
    </row>
    <row r="137" spans="2:31" x14ac:dyDescent="0.35">
      <c r="C137" s="8" t="s">
        <v>1805</v>
      </c>
      <c r="F137" s="2">
        <f>(4300000000*10)/(N150*N151*N152)</f>
        <v>81811.263318112629</v>
      </c>
      <c r="V137" s="8"/>
      <c r="W137" s="131"/>
    </row>
    <row r="138" spans="2:31" x14ac:dyDescent="0.35">
      <c r="D138" s="95" t="s">
        <v>1136</v>
      </c>
    </row>
    <row r="139" spans="2:31" x14ac:dyDescent="0.35">
      <c r="D139" s="8" t="s">
        <v>463</v>
      </c>
      <c r="T139" s="8" t="s">
        <v>2056</v>
      </c>
      <c r="V139" t="s">
        <v>105</v>
      </c>
      <c r="W139" s="127" t="s">
        <v>402</v>
      </c>
    </row>
    <row r="140" spans="2:31" x14ac:dyDescent="0.35">
      <c r="C140" s="627">
        <v>3.2999999999999998E-8</v>
      </c>
      <c r="D140" t="s">
        <v>345</v>
      </c>
      <c r="K140" s="46">
        <f>(N140-N141)*N142*N145*N144*4</f>
        <v>24219648</v>
      </c>
      <c r="L140" s="8" t="s">
        <v>101</v>
      </c>
      <c r="M140" s="8"/>
      <c r="N140">
        <v>24</v>
      </c>
      <c r="O140" t="s">
        <v>342</v>
      </c>
      <c r="T140">
        <v>1</v>
      </c>
      <c r="U140" t="s">
        <v>2057</v>
      </c>
      <c r="W140">
        <v>4</v>
      </c>
      <c r="X140" t="s">
        <v>455</v>
      </c>
    </row>
    <row r="141" spans="2:31" x14ac:dyDescent="0.35">
      <c r="D141" t="s">
        <v>1137</v>
      </c>
      <c r="K141" s="46">
        <f>(N140-N141)*N142*N145*N143*4</f>
        <v>12109824</v>
      </c>
      <c r="L141" s="8" t="s">
        <v>101</v>
      </c>
      <c r="M141" s="8"/>
      <c r="N141">
        <v>8</v>
      </c>
      <c r="O141" t="s">
        <v>343</v>
      </c>
      <c r="T141">
        <v>1</v>
      </c>
      <c r="U141" t="s">
        <v>2058</v>
      </c>
      <c r="W141">
        <v>2</v>
      </c>
      <c r="X141" t="s">
        <v>455</v>
      </c>
    </row>
    <row r="142" spans="2:31" x14ac:dyDescent="0.35">
      <c r="D142" s="103" t="s">
        <v>1138</v>
      </c>
      <c r="E142" s="1"/>
      <c r="F142" s="1"/>
      <c r="G142" s="1"/>
      <c r="H142" s="1"/>
      <c r="I142" s="1"/>
      <c r="J142" s="1"/>
      <c r="K142" s="102">
        <f>(N140-N141)*N142*N143*N146*0.1</f>
        <v>9881.2799999999988</v>
      </c>
      <c r="L142" s="8" t="s">
        <v>101</v>
      </c>
      <c r="M142" s="8"/>
      <c r="N142">
        <v>365</v>
      </c>
      <c r="O142" t="s">
        <v>339</v>
      </c>
      <c r="T142">
        <v>1</v>
      </c>
      <c r="U142" t="s">
        <v>2059</v>
      </c>
      <c r="W142">
        <v>1</v>
      </c>
      <c r="X142" t="s">
        <v>455</v>
      </c>
    </row>
    <row r="143" spans="2:31" x14ac:dyDescent="0.35">
      <c r="D143" s="103" t="s">
        <v>419</v>
      </c>
      <c r="E143" s="1"/>
      <c r="F143" s="1"/>
      <c r="G143" s="1"/>
      <c r="H143" s="1"/>
      <c r="I143" s="1"/>
      <c r="J143" s="1"/>
      <c r="K143" s="102">
        <f>D149*D161*(D147/D148)</f>
        <v>151575</v>
      </c>
      <c r="L143" s="8" t="s">
        <v>101</v>
      </c>
      <c r="M143" s="8"/>
      <c r="N143">
        <v>18</v>
      </c>
      <c r="O143" t="s">
        <v>341</v>
      </c>
      <c r="T143">
        <v>1</v>
      </c>
      <c r="U143" t="s">
        <v>2060</v>
      </c>
      <c r="W143">
        <v>0.5</v>
      </c>
      <c r="X143" t="s">
        <v>455</v>
      </c>
    </row>
    <row r="144" spans="2:31" x14ac:dyDescent="0.35">
      <c r="D144" s="103" t="s">
        <v>436</v>
      </c>
      <c r="E144" s="1"/>
      <c r="F144" s="1"/>
      <c r="G144" s="1"/>
      <c r="H144" s="1"/>
      <c r="I144" s="1"/>
      <c r="J144" s="1"/>
      <c r="K144" s="102">
        <f>D150*D161*(D147/D148)</f>
        <v>37012.5</v>
      </c>
      <c r="L144" s="8" t="s">
        <v>101</v>
      </c>
      <c r="M144" s="8"/>
      <c r="N144">
        <v>36</v>
      </c>
      <c r="O144" t="s">
        <v>341</v>
      </c>
    </row>
    <row r="145" spans="3:30" x14ac:dyDescent="0.35">
      <c r="D145" s="103" t="s">
        <v>418</v>
      </c>
      <c r="E145" s="1"/>
      <c r="F145" s="1"/>
      <c r="G145" s="1"/>
      <c r="H145" s="1"/>
      <c r="I145" s="1"/>
      <c r="J145" s="1"/>
      <c r="K145" s="102">
        <f>K142*(D151/D149)</f>
        <v>3217.1609302325578</v>
      </c>
      <c r="L145" s="8" t="s">
        <v>101</v>
      </c>
      <c r="M145" s="8"/>
      <c r="N145" s="119">
        <f>(T145*N149*N150)/AF1</f>
        <v>28.8</v>
      </c>
      <c r="O145" t="s">
        <v>960</v>
      </c>
      <c r="T145">
        <v>8</v>
      </c>
      <c r="U145" t="s">
        <v>2061</v>
      </c>
      <c r="V145" s="14" t="s">
        <v>962</v>
      </c>
      <c r="Z145" s="14"/>
    </row>
    <row r="146" spans="3:30" x14ac:dyDescent="0.35">
      <c r="D146" s="423" t="s">
        <v>356</v>
      </c>
      <c r="E146" s="423"/>
      <c r="F146" s="423"/>
      <c r="G146" s="423"/>
      <c r="H146" s="423"/>
      <c r="I146" s="423"/>
      <c r="K146" t="s">
        <v>352</v>
      </c>
      <c r="N146" s="12">
        <v>0.94</v>
      </c>
      <c r="O146" t="s">
        <v>965</v>
      </c>
      <c r="U146" s="14" t="s">
        <v>340</v>
      </c>
    </row>
    <row r="147" spans="3:30" x14ac:dyDescent="0.35">
      <c r="D147" s="706">
        <v>4.7</v>
      </c>
      <c r="E147" s="706" t="s">
        <v>2066</v>
      </c>
      <c r="F147" s="706"/>
      <c r="G147" s="706"/>
      <c r="H147" s="706"/>
      <c r="I147" s="706"/>
      <c r="J147" t="s">
        <v>105</v>
      </c>
      <c r="K147" s="14" t="s">
        <v>353</v>
      </c>
      <c r="L147" t="s">
        <v>45</v>
      </c>
      <c r="N147" s="3">
        <v>6.7000000000000004E-2</v>
      </c>
      <c r="O147" t="s">
        <v>959</v>
      </c>
    </row>
    <row r="148" spans="3:30" x14ac:dyDescent="0.35">
      <c r="D148">
        <v>8</v>
      </c>
      <c r="E148" t="s">
        <v>354</v>
      </c>
      <c r="J148" t="s">
        <v>105</v>
      </c>
      <c r="K148" s="14" t="s">
        <v>309</v>
      </c>
      <c r="L148" t="s">
        <v>45</v>
      </c>
      <c r="N148">
        <v>0.34499999999999997</v>
      </c>
      <c r="O148" s="8" t="s">
        <v>968</v>
      </c>
      <c r="V148" s="14" t="s">
        <v>642</v>
      </c>
    </row>
    <row r="149" spans="3:30" x14ac:dyDescent="0.35">
      <c r="C149" s="69">
        <f t="shared" ref="C149:C160" si="41">D149/D$149</f>
        <v>1</v>
      </c>
      <c r="D149">
        <v>86</v>
      </c>
      <c r="E149" t="s">
        <v>410</v>
      </c>
      <c r="J149" t="s">
        <v>105</v>
      </c>
      <c r="K149" s="14" t="s">
        <v>412</v>
      </c>
      <c r="L149" t="s">
        <v>45</v>
      </c>
      <c r="N149">
        <v>60</v>
      </c>
      <c r="O149" s="8" t="s">
        <v>515</v>
      </c>
    </row>
    <row r="150" spans="3:30" x14ac:dyDescent="0.35">
      <c r="C150" s="69">
        <f t="shared" si="41"/>
        <v>0.2441860465116279</v>
      </c>
      <c r="D150">
        <v>21</v>
      </c>
      <c r="E150" t="s">
        <v>1120</v>
      </c>
      <c r="J150" t="s">
        <v>105</v>
      </c>
      <c r="K150" s="14" t="s">
        <v>432</v>
      </c>
      <c r="L150" t="s">
        <v>45</v>
      </c>
      <c r="N150">
        <v>60</v>
      </c>
      <c r="O150" s="8" t="s">
        <v>956</v>
      </c>
      <c r="T150" s="8" t="s">
        <v>603</v>
      </c>
      <c r="V150" s="2">
        <f>500*25</f>
        <v>12500</v>
      </c>
      <c r="W150" t="s">
        <v>604</v>
      </c>
    </row>
    <row r="151" spans="3:30" x14ac:dyDescent="0.35">
      <c r="C151" s="69">
        <f t="shared" si="41"/>
        <v>0.32558139534883723</v>
      </c>
      <c r="D151">
        <v>28</v>
      </c>
      <c r="E151" t="s">
        <v>411</v>
      </c>
      <c r="J151" t="s">
        <v>105</v>
      </c>
      <c r="K151" s="14" t="s">
        <v>412</v>
      </c>
      <c r="L151" t="s">
        <v>45</v>
      </c>
      <c r="N151">
        <v>24</v>
      </c>
      <c r="O151" s="8" t="s">
        <v>342</v>
      </c>
      <c r="T151" s="8" t="s">
        <v>963</v>
      </c>
      <c r="V151" s="2">
        <f>N153*N152*N151*N150</f>
        <v>8409600</v>
      </c>
    </row>
    <row r="152" spans="3:30" x14ac:dyDescent="0.35">
      <c r="C152" s="69">
        <f t="shared" si="41"/>
        <v>4.1046511627906977E-2</v>
      </c>
      <c r="D152">
        <v>3.53</v>
      </c>
      <c r="E152" t="s">
        <v>971</v>
      </c>
      <c r="J152" t="s">
        <v>105</v>
      </c>
      <c r="K152" s="14" t="s">
        <v>970</v>
      </c>
      <c r="L152" t="s">
        <v>45</v>
      </c>
      <c r="N152">
        <v>365</v>
      </c>
      <c r="O152" s="8" t="s">
        <v>339</v>
      </c>
      <c r="T152" s="8" t="s">
        <v>958</v>
      </c>
      <c r="V152" s="2">
        <f>V151*K197</f>
        <v>2522880000</v>
      </c>
    </row>
    <row r="153" spans="3:30" x14ac:dyDescent="0.35">
      <c r="C153" s="69">
        <f t="shared" si="41"/>
        <v>1.1627906976744186E-2</v>
      </c>
      <c r="D153">
        <v>1</v>
      </c>
      <c r="E153" t="s">
        <v>1405</v>
      </c>
      <c r="J153" t="s">
        <v>105</v>
      </c>
      <c r="K153" s="137" t="s">
        <v>1406</v>
      </c>
      <c r="L153" t="s">
        <v>45</v>
      </c>
      <c r="N153">
        <v>16</v>
      </c>
      <c r="O153" s="8" t="s">
        <v>957</v>
      </c>
      <c r="P153" t="s">
        <v>1347</v>
      </c>
      <c r="T153" s="8" t="s">
        <v>964</v>
      </c>
      <c r="V153" s="2">
        <f>V151/300</f>
        <v>28032</v>
      </c>
    </row>
    <row r="154" spans="3:30" x14ac:dyDescent="0.35">
      <c r="C154" s="69">
        <f t="shared" si="41"/>
        <v>8.2558139534883715E-4</v>
      </c>
      <c r="D154" s="3">
        <v>7.0999999999999994E-2</v>
      </c>
      <c r="E154" t="s">
        <v>949</v>
      </c>
      <c r="J154" t="s">
        <v>105</v>
      </c>
      <c r="K154" s="14" t="s">
        <v>950</v>
      </c>
      <c r="L154">
        <v>100</v>
      </c>
      <c r="M154" t="s">
        <v>1305</v>
      </c>
    </row>
    <row r="155" spans="3:30" x14ac:dyDescent="0.35">
      <c r="C155" s="69">
        <f t="shared" si="41"/>
        <v>2.9883720930232558</v>
      </c>
      <c r="D155" s="6">
        <v>257</v>
      </c>
      <c r="E155" t="s">
        <v>1121</v>
      </c>
      <c r="J155" t="s">
        <v>105</v>
      </c>
      <c r="K155" s="14" t="s">
        <v>970</v>
      </c>
      <c r="L155" t="s">
        <v>45</v>
      </c>
      <c r="O155" s="8"/>
      <c r="R155" s="707" t="s">
        <v>2067</v>
      </c>
      <c r="S155" s="706"/>
      <c r="T155" s="707"/>
      <c r="U155" s="706"/>
      <c r="V155" s="2"/>
    </row>
    <row r="156" spans="3:30" x14ac:dyDescent="0.35">
      <c r="C156" s="69">
        <f t="shared" si="41"/>
        <v>6.5116279069767441E-2</v>
      </c>
      <c r="D156" s="6">
        <v>5.6</v>
      </c>
      <c r="E156" t="s">
        <v>1122</v>
      </c>
      <c r="J156" t="s">
        <v>105</v>
      </c>
      <c r="K156" s="14" t="s">
        <v>970</v>
      </c>
      <c r="L156" t="s">
        <v>45</v>
      </c>
      <c r="O156" s="8"/>
      <c r="R156" s="706" t="s">
        <v>2068</v>
      </c>
      <c r="S156" s="706"/>
      <c r="T156" s="707"/>
      <c r="U156" s="706">
        <f>2^64</f>
        <v>1.8446744073709552E+19</v>
      </c>
      <c r="V156" s="2"/>
    </row>
    <row r="157" spans="3:30" x14ac:dyDescent="0.35">
      <c r="C157" s="69">
        <f t="shared" si="41"/>
        <v>1.4883720930232558</v>
      </c>
      <c r="D157" s="6">
        <v>128</v>
      </c>
      <c r="E157" t="s">
        <v>1682</v>
      </c>
      <c r="J157" t="s">
        <v>105</v>
      </c>
      <c r="K157" s="14" t="s">
        <v>1683</v>
      </c>
      <c r="L157" t="s">
        <v>45</v>
      </c>
      <c r="O157" s="8"/>
      <c r="R157" s="706" t="s">
        <v>2069</v>
      </c>
      <c r="S157" s="706"/>
      <c r="T157" s="707"/>
      <c r="U157" s="708">
        <f>2^32</f>
        <v>4294967296</v>
      </c>
      <c r="V157" s="2"/>
    </row>
    <row r="158" spans="3:30" x14ac:dyDescent="0.35">
      <c r="C158" s="69">
        <f t="shared" si="41"/>
        <v>0.43255813953488376</v>
      </c>
      <c r="D158" s="6">
        <v>37.200000000000003</v>
      </c>
      <c r="E158" t="s">
        <v>1684</v>
      </c>
      <c r="J158" t="s">
        <v>105</v>
      </c>
      <c r="K158" s="14" t="s">
        <v>970</v>
      </c>
      <c r="L158" t="s">
        <v>45</v>
      </c>
      <c r="O158" s="8"/>
      <c r="R158" s="706" t="s">
        <v>2070</v>
      </c>
      <c r="S158" s="706"/>
      <c r="T158" s="707"/>
      <c r="U158" s="708">
        <f>2^16</f>
        <v>65536</v>
      </c>
      <c r="V158" s="2"/>
    </row>
    <row r="159" spans="3:30" x14ac:dyDescent="0.35">
      <c r="C159" s="447">
        <f t="shared" si="41"/>
        <v>1.627906976744186E-6</v>
      </c>
      <c r="D159" s="545">
        <v>1.3999999999999999E-4</v>
      </c>
      <c r="E159" t="s">
        <v>1157</v>
      </c>
      <c r="G159" s="24">
        <f>50000000/140000</f>
        <v>357.14285714285717</v>
      </c>
      <c r="H159" s="24"/>
      <c r="I159" t="s">
        <v>1158</v>
      </c>
      <c r="J159" t="s">
        <v>105</v>
      </c>
      <c r="K159" s="14" t="s">
        <v>1159</v>
      </c>
      <c r="L159" s="2">
        <v>10000</v>
      </c>
      <c r="M159" t="s">
        <v>1305</v>
      </c>
      <c r="R159" s="706" t="s">
        <v>2071</v>
      </c>
      <c r="S159" s="706"/>
      <c r="T159" s="707"/>
      <c r="U159" s="708">
        <f>2^8</f>
        <v>256</v>
      </c>
      <c r="V159" s="2" t="s">
        <v>2077</v>
      </c>
    </row>
    <row r="160" spans="3:30" x14ac:dyDescent="0.35">
      <c r="C160" s="546">
        <f t="shared" si="41"/>
        <v>3.511627906976744E-9</v>
      </c>
      <c r="D160" s="545">
        <f>302/AF3</f>
        <v>3.0199999999999998E-7</v>
      </c>
      <c r="E160" t="s">
        <v>1707</v>
      </c>
      <c r="G160" s="24">
        <v>7500</v>
      </c>
      <c r="H160" s="24"/>
      <c r="I160" s="24" t="s">
        <v>1690</v>
      </c>
      <c r="J160" t="s">
        <v>105</v>
      </c>
      <c r="K160" s="14" t="s">
        <v>1683</v>
      </c>
      <c r="L160" s="2">
        <f>L128/L124</f>
        <v>960000</v>
      </c>
      <c r="M160" t="s">
        <v>1305</v>
      </c>
      <c r="R160" s="706" t="s">
        <v>2073</v>
      </c>
      <c r="S160" s="706"/>
      <c r="T160" s="707"/>
      <c r="U160" s="708">
        <f>2^4</f>
        <v>16</v>
      </c>
      <c r="V160" s="708" t="s">
        <v>2078</v>
      </c>
      <c r="W160" s="706"/>
      <c r="X160" s="706"/>
      <c r="Y160" s="706"/>
      <c r="Z160" s="706"/>
      <c r="AA160" s="706"/>
      <c r="AB160" s="706"/>
      <c r="AC160" s="706"/>
      <c r="AD160" s="706"/>
    </row>
    <row r="161" spans="3:28" x14ac:dyDescent="0.35">
      <c r="D161">
        <v>3000</v>
      </c>
      <c r="E161" t="s">
        <v>413</v>
      </c>
      <c r="J161" t="s">
        <v>105</v>
      </c>
      <c r="K161" s="14" t="s">
        <v>148</v>
      </c>
      <c r="L161" t="s">
        <v>45</v>
      </c>
      <c r="R161" s="706" t="s">
        <v>2072</v>
      </c>
      <c r="S161" s="706"/>
      <c r="T161" s="706"/>
      <c r="U161" s="708">
        <f>2^2</f>
        <v>4</v>
      </c>
    </row>
    <row r="162" spans="3:28" x14ac:dyDescent="0.35">
      <c r="C162" s="8"/>
      <c r="D162">
        <v>10000</v>
      </c>
      <c r="E162" t="s">
        <v>355</v>
      </c>
      <c r="J162" t="s">
        <v>105</v>
      </c>
      <c r="K162" s="14" t="s">
        <v>148</v>
      </c>
      <c r="L162" s="14" t="s">
        <v>147</v>
      </c>
      <c r="M162" s="14"/>
      <c r="R162" s="706" t="s">
        <v>2074</v>
      </c>
      <c r="S162" s="706"/>
      <c r="T162" s="706"/>
      <c r="U162" s="708">
        <f>2^1</f>
        <v>2</v>
      </c>
    </row>
    <row r="163" spans="3:28" x14ac:dyDescent="0.35">
      <c r="D163">
        <v>50</v>
      </c>
      <c r="E163" t="s">
        <v>357</v>
      </c>
      <c r="J163" t="s">
        <v>105</v>
      </c>
      <c r="K163" s="14" t="s">
        <v>330</v>
      </c>
      <c r="L163" t="s">
        <v>358</v>
      </c>
      <c r="N163" t="s">
        <v>359</v>
      </c>
      <c r="O163" s="14" t="s">
        <v>360</v>
      </c>
      <c r="P163" t="s">
        <v>361</v>
      </c>
      <c r="T163" s="14" t="s">
        <v>362</v>
      </c>
      <c r="U163" t="s">
        <v>45</v>
      </c>
    </row>
    <row r="164" spans="3:28" x14ac:dyDescent="0.35">
      <c r="D164" s="8" t="s">
        <v>416</v>
      </c>
      <c r="K164" s="46">
        <f>D149*D162</f>
        <v>860000</v>
      </c>
      <c r="L164" s="8" t="s">
        <v>99</v>
      </c>
      <c r="M164" s="8"/>
      <c r="O164" t="s">
        <v>379</v>
      </c>
    </row>
    <row r="165" spans="3:28" x14ac:dyDescent="0.35">
      <c r="D165" s="8" t="s">
        <v>415</v>
      </c>
      <c r="K165" s="46">
        <f>D149*D161</f>
        <v>258000</v>
      </c>
      <c r="L165" s="8" t="s">
        <v>99</v>
      </c>
      <c r="M165" s="8"/>
      <c r="O165" t="s">
        <v>95</v>
      </c>
      <c r="P165" s="14" t="s">
        <v>112</v>
      </c>
      <c r="Q165" s="14"/>
      <c r="R165" s="14"/>
      <c r="S165" s="14"/>
      <c r="T165" t="s">
        <v>45</v>
      </c>
    </row>
    <row r="166" spans="3:28" x14ac:dyDescent="0.35">
      <c r="D166" s="8" t="s">
        <v>434</v>
      </c>
      <c r="K166" s="46">
        <f>D150*D161</f>
        <v>63000</v>
      </c>
      <c r="L166" s="8" t="s">
        <v>99</v>
      </c>
      <c r="M166" s="8"/>
      <c r="O166" s="1" t="s">
        <v>809</v>
      </c>
      <c r="P166" s="1"/>
      <c r="Q166" s="1"/>
      <c r="R166" s="1"/>
      <c r="S166" s="1"/>
      <c r="T166" s="1"/>
      <c r="U166" s="1"/>
      <c r="V166" s="1"/>
      <c r="W166" s="1"/>
      <c r="X166" s="1"/>
      <c r="Y166" s="1"/>
      <c r="Z166" s="1"/>
      <c r="AA166" s="1"/>
      <c r="AB166" s="1"/>
    </row>
    <row r="167" spans="3:28" x14ac:dyDescent="0.35">
      <c r="D167" s="8" t="s">
        <v>417</v>
      </c>
      <c r="K167" s="46">
        <f>D151*D161</f>
        <v>84000</v>
      </c>
      <c r="L167" s="8" t="s">
        <v>99</v>
      </c>
      <c r="M167" s="8"/>
      <c r="O167" t="s">
        <v>105</v>
      </c>
      <c r="P167" s="14" t="s">
        <v>313</v>
      </c>
      <c r="Q167" s="14"/>
      <c r="R167" s="14"/>
      <c r="S167" s="14"/>
    </row>
    <row r="168" spans="3:28" x14ac:dyDescent="0.35">
      <c r="O168" s="1" t="s">
        <v>457</v>
      </c>
      <c r="P168" s="1"/>
      <c r="Q168" s="1"/>
      <c r="R168" s="1"/>
      <c r="S168" s="1"/>
      <c r="T168" s="1"/>
      <c r="U168" s="1"/>
      <c r="V168" s="1"/>
      <c r="W168" s="1">
        <v>2000</v>
      </c>
      <c r="X168" s="1" t="s">
        <v>138</v>
      </c>
    </row>
    <row r="169" spans="3:28" x14ac:dyDescent="0.35">
      <c r="D169" s="113" t="s">
        <v>414</v>
      </c>
      <c r="E169" s="114"/>
      <c r="F169" s="114"/>
      <c r="G169" s="114"/>
      <c r="H169" s="114"/>
      <c r="I169" s="114"/>
      <c r="J169" s="114"/>
      <c r="K169" s="115">
        <f>(D151/1000)*D$161*D$163</f>
        <v>4200</v>
      </c>
      <c r="L169" s="8" t="s">
        <v>363</v>
      </c>
      <c r="M169" s="8"/>
      <c r="N169" s="8" t="s">
        <v>328</v>
      </c>
    </row>
    <row r="170" spans="3:28" x14ac:dyDescent="0.35">
      <c r="D170" s="113" t="s">
        <v>364</v>
      </c>
      <c r="E170" s="114"/>
      <c r="F170" s="114"/>
      <c r="G170" s="114"/>
      <c r="H170" s="114"/>
      <c r="I170" s="114"/>
      <c r="J170" s="114"/>
      <c r="K170" s="115">
        <f>(D149/1000)*D$161*D$163</f>
        <v>12900</v>
      </c>
      <c r="L170" s="8" t="s">
        <v>363</v>
      </c>
      <c r="M170" s="8"/>
      <c r="N170" s="14" t="s">
        <v>151</v>
      </c>
      <c r="O170" t="str">
        <f>D171</f>
        <v>Raymond Kurzweil 2009 slide 20 estimate 10^19 FLOPS are needed to simulate a complete human brain in a supercomputer for brain uploading. Ray K. also has a lower estimate of 2*10^16 or 20,000 TFLOPS that uses 100 billion neurons*1000 synapses *200 firings per second and call that estimate the needed compute for functional brain simulation</v>
      </c>
    </row>
    <row r="171" spans="3:28" x14ac:dyDescent="0.35">
      <c r="D171" s="113" t="s">
        <v>987</v>
      </c>
      <c r="E171" s="114"/>
      <c r="F171" s="114"/>
      <c r="G171" s="114"/>
      <c r="H171" s="114"/>
      <c r="I171" s="114"/>
      <c r="J171" s="114"/>
      <c r="K171" s="115">
        <v>10000000</v>
      </c>
      <c r="L171" s="8" t="s">
        <v>363</v>
      </c>
      <c r="M171" s="8"/>
      <c r="N171" s="14" t="s">
        <v>330</v>
      </c>
      <c r="O171" t="s">
        <v>331</v>
      </c>
    </row>
    <row r="172" spans="3:28" x14ac:dyDescent="0.35">
      <c r="D172" s="113" t="s">
        <v>435</v>
      </c>
      <c r="E172" s="114"/>
      <c r="F172" s="114"/>
      <c r="G172" s="114"/>
      <c r="H172" s="114"/>
      <c r="I172" s="114"/>
      <c r="J172" s="114"/>
      <c r="K172" s="115">
        <f>(D150/1000)*D$161*D$163</f>
        <v>3150.0000000000005</v>
      </c>
      <c r="L172" s="8" t="s">
        <v>363</v>
      </c>
      <c r="M172" s="8"/>
      <c r="N172" s="14" t="s">
        <v>332</v>
      </c>
    </row>
    <row r="173" spans="3:28" x14ac:dyDescent="0.35">
      <c r="N173" s="14" t="s">
        <v>329</v>
      </c>
    </row>
    <row r="174" spans="3:28" x14ac:dyDescent="0.35">
      <c r="J174" s="104">
        <v>2.4</v>
      </c>
      <c r="K174" s="104" t="s">
        <v>2386</v>
      </c>
      <c r="L174" s="104" t="s">
        <v>105</v>
      </c>
      <c r="M174" s="818" t="s">
        <v>804</v>
      </c>
      <c r="N174" s="14" t="s">
        <v>45</v>
      </c>
    </row>
    <row r="175" spans="3:28" x14ac:dyDescent="0.35">
      <c r="J175" s="104">
        <v>1.2</v>
      </c>
      <c r="K175" s="104" t="s">
        <v>2387</v>
      </c>
      <c r="L175" s="104" t="s">
        <v>105</v>
      </c>
      <c r="M175" s="104" t="s">
        <v>2443</v>
      </c>
      <c r="N175" s="14" t="s">
        <v>365</v>
      </c>
    </row>
    <row r="176" spans="3:28" x14ac:dyDescent="0.35">
      <c r="J176" s="104">
        <v>0.6</v>
      </c>
      <c r="K176" s="104" t="s">
        <v>2388</v>
      </c>
      <c r="L176" s="104" t="s">
        <v>105</v>
      </c>
      <c r="M176" s="104" t="s">
        <v>2443</v>
      </c>
      <c r="N176" s="14"/>
    </row>
    <row r="177" spans="4:29" x14ac:dyDescent="0.35">
      <c r="D177" s="8"/>
      <c r="N177" s="103" t="s">
        <v>454</v>
      </c>
      <c r="O177" s="1"/>
    </row>
    <row r="178" spans="4:29" x14ac:dyDescent="0.35">
      <c r="K178" s="2"/>
      <c r="N178" s="14" t="s">
        <v>325</v>
      </c>
      <c r="O178" t="s">
        <v>45</v>
      </c>
      <c r="P178" s="1"/>
      <c r="Q178" s="1"/>
      <c r="R178" s="1"/>
      <c r="S178" s="1"/>
      <c r="T178" s="1" t="s">
        <v>988</v>
      </c>
      <c r="U178" s="1"/>
      <c r="V178" s="1"/>
      <c r="W178" s="1"/>
      <c r="Y178" s="105" t="s">
        <v>475</v>
      </c>
      <c r="Z178" s="105"/>
      <c r="AA178" s="2">
        <f>100*1000</f>
        <v>100000</v>
      </c>
      <c r="AB178" s="2"/>
    </row>
    <row r="179" spans="4:29" x14ac:dyDescent="0.35">
      <c r="N179" s="14" t="s">
        <v>326</v>
      </c>
      <c r="O179" t="s">
        <v>45</v>
      </c>
      <c r="T179" t="s">
        <v>477</v>
      </c>
    </row>
    <row r="180" spans="4:29" x14ac:dyDescent="0.35">
      <c r="N180" s="14"/>
      <c r="AC180" t="s">
        <v>476</v>
      </c>
    </row>
    <row r="181" spans="4:29" x14ac:dyDescent="0.35">
      <c r="N181" s="14" t="s">
        <v>327</v>
      </c>
      <c r="O181" t="s">
        <v>45</v>
      </c>
    </row>
    <row r="182" spans="4:29" x14ac:dyDescent="0.35">
      <c r="D182" s="8" t="s">
        <v>427</v>
      </c>
    </row>
    <row r="183" spans="4:29" x14ac:dyDescent="0.35">
      <c r="D183" t="s">
        <v>989</v>
      </c>
    </row>
    <row r="184" spans="4:29" x14ac:dyDescent="0.35">
      <c r="D184" t="s">
        <v>836</v>
      </c>
      <c r="N184" s="137" t="s">
        <v>38</v>
      </c>
    </row>
    <row r="185" spans="4:29" x14ac:dyDescent="0.35">
      <c r="N185" s="137"/>
    </row>
    <row r="186" spans="4:29" x14ac:dyDescent="0.35">
      <c r="D186" t="s">
        <v>430</v>
      </c>
      <c r="N186" s="14" t="s">
        <v>426</v>
      </c>
    </row>
    <row r="187" spans="4:29" x14ac:dyDescent="0.35">
      <c r="D187" t="s">
        <v>451</v>
      </c>
      <c r="J187">
        <v>8</v>
      </c>
      <c r="K187" s="12">
        <v>3</v>
      </c>
      <c r="L187" t="s">
        <v>204</v>
      </c>
      <c r="N187" s="14" t="s">
        <v>431</v>
      </c>
      <c r="O187" t="s">
        <v>837</v>
      </c>
    </row>
    <row r="188" spans="4:29" x14ac:dyDescent="0.35">
      <c r="D188" s="8" t="s">
        <v>464</v>
      </c>
      <c r="K188">
        <v>50</v>
      </c>
      <c r="L188" s="8" t="s">
        <v>204</v>
      </c>
      <c r="M188" s="8"/>
      <c r="N188" s="14"/>
    </row>
    <row r="189" spans="4:29" x14ac:dyDescent="0.35">
      <c r="D189">
        <v>24</v>
      </c>
      <c r="E189" s="8" t="s">
        <v>342</v>
      </c>
      <c r="K189" s="12"/>
      <c r="N189" s="14" t="s">
        <v>428</v>
      </c>
    </row>
    <row r="190" spans="4:29" x14ac:dyDescent="0.35">
      <c r="D190">
        <v>1</v>
      </c>
      <c r="E190" s="8" t="s">
        <v>990</v>
      </c>
      <c r="N190" s="14" t="s">
        <v>429</v>
      </c>
    </row>
    <row r="191" spans="4:29" x14ac:dyDescent="0.35">
      <c r="D191">
        <f>60*60</f>
        <v>3600</v>
      </c>
      <c r="E191" t="s">
        <v>503</v>
      </c>
      <c r="F191" s="8"/>
      <c r="G191" s="8"/>
      <c r="H191" s="8"/>
      <c r="I191" s="8"/>
      <c r="J191" s="8"/>
      <c r="K191" s="123"/>
      <c r="L191" s="8"/>
      <c r="M191" s="8"/>
    </row>
    <row r="192" spans="4:29" x14ac:dyDescent="0.35">
      <c r="D192">
        <v>0.1</v>
      </c>
      <c r="E192" t="s">
        <v>504</v>
      </c>
      <c r="F192" s="46"/>
      <c r="G192" s="8" t="s">
        <v>991</v>
      </c>
      <c r="H192" s="8"/>
      <c r="I192" s="8"/>
      <c r="J192" s="8"/>
      <c r="K192" s="46"/>
      <c r="L192" s="8"/>
      <c r="M192" s="8"/>
    </row>
    <row r="193" spans="2:29" x14ac:dyDescent="0.35">
      <c r="D193">
        <v>60</v>
      </c>
      <c r="E193" t="s">
        <v>515</v>
      </c>
      <c r="K193" s="2"/>
      <c r="M193" t="s">
        <v>38</v>
      </c>
    </row>
    <row r="194" spans="2:29" x14ac:dyDescent="0.35">
      <c r="D194" s="103" t="s">
        <v>841</v>
      </c>
      <c r="E194" s="1"/>
      <c r="F194" s="103"/>
      <c r="G194" s="103"/>
      <c r="H194" s="103"/>
      <c r="I194" s="103"/>
      <c r="J194" s="103"/>
      <c r="K194" s="102">
        <f>O194*K195</f>
        <v>266.66666666666669</v>
      </c>
      <c r="L194" s="103" t="s">
        <v>840</v>
      </c>
      <c r="M194" t="s">
        <v>1125</v>
      </c>
      <c r="O194">
        <v>8</v>
      </c>
      <c r="P194" t="s">
        <v>961</v>
      </c>
      <c r="U194" t="s">
        <v>105</v>
      </c>
    </row>
    <row r="195" spans="2:29" x14ac:dyDescent="0.35">
      <c r="D195" s="400" t="s">
        <v>1031</v>
      </c>
      <c r="E195" s="1"/>
      <c r="F195" s="1"/>
      <c r="G195" s="1"/>
      <c r="H195" s="1"/>
      <c r="I195" s="1"/>
      <c r="J195" s="1"/>
      <c r="K195" s="234">
        <f>K199/D193</f>
        <v>33.333333333333336</v>
      </c>
      <c r="L195" s="103" t="s">
        <v>516</v>
      </c>
      <c r="M195" s="14" t="s">
        <v>1125</v>
      </c>
      <c r="P195" s="8"/>
      <c r="Q195" s="8"/>
      <c r="R195" s="8"/>
      <c r="S195" s="8"/>
    </row>
    <row r="196" spans="2:29" x14ac:dyDescent="0.35">
      <c r="D196" s="8" t="s">
        <v>506</v>
      </c>
      <c r="K196" s="12">
        <f>500*2000/1000000</f>
        <v>1</v>
      </c>
      <c r="L196" s="8" t="s">
        <v>505</v>
      </c>
      <c r="M196" s="14" t="s">
        <v>509</v>
      </c>
    </row>
    <row r="197" spans="2:29" x14ac:dyDescent="0.35">
      <c r="D197" s="8" t="s">
        <v>507</v>
      </c>
      <c r="K197">
        <v>300</v>
      </c>
      <c r="L197" s="8" t="s">
        <v>508</v>
      </c>
      <c r="M197" s="14" t="s">
        <v>510</v>
      </c>
    </row>
    <row r="198" spans="2:29" x14ac:dyDescent="0.35">
      <c r="D198" s="8" t="s">
        <v>512</v>
      </c>
      <c r="K198">
        <v>1</v>
      </c>
      <c r="L198" s="8" t="s">
        <v>511</v>
      </c>
      <c r="M198" s="14" t="s">
        <v>510</v>
      </c>
    </row>
    <row r="199" spans="2:29" x14ac:dyDescent="0.35">
      <c r="D199" s="8" t="s">
        <v>513</v>
      </c>
      <c r="K199">
        <v>2000</v>
      </c>
      <c r="L199" s="8" t="s">
        <v>514</v>
      </c>
      <c r="M199" t="s">
        <v>509</v>
      </c>
    </row>
    <row r="200" spans="2:29" x14ac:dyDescent="0.35">
      <c r="D200" s="8" t="s">
        <v>2054</v>
      </c>
      <c r="K200">
        <v>1</v>
      </c>
      <c r="L200" s="8" t="s">
        <v>2046</v>
      </c>
      <c r="M200" t="s">
        <v>2047</v>
      </c>
    </row>
    <row r="201" spans="2:29" x14ac:dyDescent="0.35">
      <c r="D201" s="8" t="s">
        <v>2041</v>
      </c>
      <c r="K201">
        <v>4</v>
      </c>
      <c r="L201" s="8" t="s">
        <v>2042</v>
      </c>
      <c r="M201" t="s">
        <v>2043</v>
      </c>
    </row>
    <row r="202" spans="2:29" x14ac:dyDescent="0.35">
      <c r="D202" s="8" t="s">
        <v>2055</v>
      </c>
      <c r="K202">
        <f>K201*K200</f>
        <v>4</v>
      </c>
      <c r="L202" s="8" t="s">
        <v>2046</v>
      </c>
      <c r="M202" t="s">
        <v>135</v>
      </c>
    </row>
    <row r="203" spans="2:29" x14ac:dyDescent="0.35">
      <c r="D203" s="8" t="s">
        <v>2044</v>
      </c>
      <c r="K203">
        <v>0.75</v>
      </c>
      <c r="L203" s="8" t="s">
        <v>2045</v>
      </c>
      <c r="M203" t="s">
        <v>2043</v>
      </c>
    </row>
    <row r="204" spans="2:29" ht="24" thickBot="1" x14ac:dyDescent="0.6">
      <c r="C204" s="11" t="s">
        <v>38</v>
      </c>
    </row>
    <row r="205" spans="2:29" ht="15" thickTop="1" x14ac:dyDescent="0.35">
      <c r="C205" s="18" t="str">
        <f t="shared" ref="C205:AB205" si="42">C6</f>
        <v>Name of AI model or</v>
      </c>
      <c r="D205" s="19" t="str">
        <f t="shared" si="42"/>
        <v xml:space="preserve">Year </v>
      </c>
      <c r="E205" s="19" t="str">
        <f t="shared" si="42"/>
        <v>Main use and</v>
      </c>
      <c r="F205" s="19" t="str">
        <f t="shared" si="42"/>
        <v xml:space="preserve">Status </v>
      </c>
      <c r="G205" s="19" t="str">
        <f t="shared" si="42"/>
        <v>Income USD</v>
      </c>
      <c r="H205" s="19" t="str">
        <f t="shared" si="42"/>
        <v>Cost in USD per</v>
      </c>
      <c r="I205" s="19" t="str">
        <f t="shared" si="42"/>
        <v>Common</v>
      </c>
      <c r="J205" s="19" t="str">
        <f t="shared" si="42"/>
        <v>AI model/system</v>
      </c>
      <c r="K205" s="19" t="str">
        <f t="shared" si="42"/>
        <v>Associated</v>
      </c>
      <c r="L205" s="19" t="str">
        <f t="shared" si="42"/>
        <v>Memory</v>
      </c>
      <c r="M205" s="19" t="str">
        <f t="shared" si="42"/>
        <v>Min. # of</v>
      </c>
      <c r="N205" s="19" t="str">
        <f t="shared" si="42"/>
        <v>TFLOPS for</v>
      </c>
      <c r="O205" s="19" t="str">
        <f t="shared" si="42"/>
        <v>Power use</v>
      </c>
      <c r="P205" s="19" t="str">
        <f t="shared" si="42"/>
        <v>TFLOPS</v>
      </c>
      <c r="Q205" s="19" t="str">
        <f t="shared" si="42"/>
        <v>Cost of</v>
      </c>
      <c r="R205" s="19" t="str">
        <f t="shared" si="42"/>
        <v xml:space="preserve"># of chips </v>
      </c>
      <c r="S205" s="19" t="str">
        <f t="shared" si="42"/>
        <v>Cost of trai-</v>
      </c>
      <c r="T205" s="19" t="str">
        <f t="shared" si="42"/>
        <v>Max input</v>
      </c>
      <c r="U205" s="19" t="str">
        <f t="shared" si="42"/>
        <v>Training data</v>
      </c>
      <c r="V205" s="19" t="str">
        <f t="shared" si="42"/>
        <v>Estimated</v>
      </c>
      <c r="W205" s="19" t="str">
        <f t="shared" si="42"/>
        <v xml:space="preserve">Lines of code </v>
      </c>
      <c r="X205" s="19" t="str">
        <f t="shared" si="42"/>
        <v># of AI models</v>
      </c>
      <c r="Y205" s="19" t="str">
        <f t="shared" si="42"/>
        <v># of layers</v>
      </c>
      <c r="Z205" s="19" t="str">
        <f t="shared" si="42"/>
        <v>Training</v>
      </c>
      <c r="AA205" s="19" t="str">
        <f t="shared" si="42"/>
        <v>Cost of</v>
      </c>
      <c r="AB205" s="20" t="str">
        <f t="shared" si="42"/>
        <v>Day to</v>
      </c>
    </row>
    <row r="206" spans="2:29" x14ac:dyDescent="0.35">
      <c r="C206" s="21" t="str">
        <f>C7</f>
        <v>computing entity</v>
      </c>
      <c r="D206" s="13" t="str">
        <f>D7</f>
        <v>announced</v>
      </c>
      <c r="E206" s="13" t="str">
        <f>E7</f>
        <v>and description</v>
      </c>
      <c r="F206" s="13"/>
      <c r="G206" s="13">
        <f t="shared" ref="G206:AB206" si="43">G7</f>
        <v>0</v>
      </c>
      <c r="H206" s="13" t="str">
        <f t="shared" si="43"/>
        <v>million output</v>
      </c>
      <c r="I206" s="13" t="str">
        <f t="shared" si="43"/>
        <v xml:space="preserve">chip used for </v>
      </c>
      <c r="J206" s="13" t="str">
        <f t="shared" si="43"/>
        <v>in billion</v>
      </c>
      <c r="K206" s="13" t="str">
        <f t="shared" si="43"/>
        <v>memory</v>
      </c>
      <c r="L206" s="13" t="str">
        <f t="shared" si="43"/>
        <v>bandwidth</v>
      </c>
      <c r="M206" s="13" t="str">
        <f t="shared" si="43"/>
        <v>chips for</v>
      </c>
      <c r="N206" s="13" t="str">
        <f t="shared" si="43"/>
        <v>inference</v>
      </c>
      <c r="O206" s="13" t="str">
        <f t="shared" si="43"/>
        <v>in watt for</v>
      </c>
      <c r="P206" s="13" t="str">
        <f t="shared" si="43"/>
        <v>per watt</v>
      </c>
      <c r="Q206" s="13" t="str">
        <f t="shared" si="43"/>
        <v>inference</v>
      </c>
      <c r="R206" s="13" t="str">
        <f t="shared" si="43"/>
        <v>used in trai-</v>
      </c>
      <c r="S206" s="13" t="str">
        <f t="shared" si="43"/>
        <v xml:space="preserve">ning cluster </v>
      </c>
      <c r="T206" s="13" t="str">
        <f t="shared" si="43"/>
        <v>tokens or context</v>
      </c>
      <c r="U206" s="13" t="str">
        <f t="shared" si="43"/>
        <v>billion tokens</v>
      </c>
      <c r="V206" s="13" t="str">
        <f t="shared" si="43"/>
        <v>size of training</v>
      </c>
      <c r="W206" s="13" t="str">
        <f t="shared" si="43"/>
        <v>to specify</v>
      </c>
      <c r="X206" s="13" t="str">
        <f t="shared" si="43"/>
        <v>in system/agentic</v>
      </c>
      <c r="Y206" s="13" t="str">
        <f t="shared" si="43"/>
        <v>in neural</v>
      </c>
      <c r="Z206" s="13" t="str">
        <f t="shared" si="43"/>
        <v>compute</v>
      </c>
      <c r="AA206" s="13" t="str">
        <f t="shared" si="43"/>
        <v>training</v>
      </c>
      <c r="AB206" s="22" t="str">
        <f t="shared" si="43"/>
        <v>train</v>
      </c>
    </row>
    <row r="207" spans="2:29" ht="15" thickBot="1" x14ac:dyDescent="0.4">
      <c r="C207" s="181">
        <f>C8</f>
        <v>0</v>
      </c>
      <c r="D207" s="173" t="str">
        <f>D8</f>
        <v>or expected</v>
      </c>
      <c r="E207" s="173"/>
      <c r="F207" s="173"/>
      <c r="G207" s="173"/>
      <c r="H207" s="173" t="str">
        <f t="shared" ref="H207:O207" si="44">H8</f>
        <v>tokens / date</v>
      </c>
      <c r="I207" s="173" t="str">
        <f t="shared" si="44"/>
        <v>inference</v>
      </c>
      <c r="J207" s="173" t="str">
        <f t="shared" si="44"/>
        <v>parameters/synapsis</v>
      </c>
      <c r="K207" s="173" t="str">
        <f t="shared" si="44"/>
        <v>RAM in GB</v>
      </c>
      <c r="L207" s="173" t="str">
        <f t="shared" si="44"/>
        <v>GB/s</v>
      </c>
      <c r="M207" s="173" t="str">
        <f t="shared" si="44"/>
        <v>inference computer calculated by GB ram needed for AI model and GB in available in most likely AI chip used for AI inference</v>
      </c>
      <c r="N207" s="173" t="str">
        <f t="shared" si="44"/>
        <v>computer</v>
      </c>
      <c r="O207" s="173" t="str">
        <f t="shared" si="44"/>
        <v>inference</v>
      </c>
      <c r="P207" s="173"/>
      <c r="Q207" s="173" t="str">
        <f t="shared" ref="Q207:AB207" si="45">Q8</f>
        <v>computer</v>
      </c>
      <c r="R207" s="173" t="str">
        <f t="shared" si="45"/>
        <v>ning cluster</v>
      </c>
      <c r="S207" s="173" t="str">
        <f t="shared" si="45"/>
        <v>million USD</v>
      </c>
      <c r="T207" s="173" t="str">
        <f t="shared" si="45"/>
        <v>window (note context window is sum of input and output tokens) One token equals 4 characters so one average word is about 1-2 tokens.</v>
      </c>
      <c r="U207" s="173" t="str">
        <f t="shared" si="45"/>
        <v>or images</v>
      </c>
      <c r="V207" s="173" t="str">
        <f t="shared" si="45"/>
        <v>database in GB</v>
      </c>
      <c r="W207" s="173" t="str">
        <f t="shared" si="45"/>
        <v>full AI model or system of interacting AI models as in mixture-of-experts MoE AI models</v>
      </c>
      <c r="X207" s="173" t="str">
        <f t="shared" si="45"/>
        <v xml:space="preserve">workflow - The most well known system of AI models is mixture-of-experts MoE models. The MoE AI system is likely the first examples we have of usefull agentic workflows. It is usefull because MoE models can drastically lower the need for computation during inference time because only the relevant expert models are activated for a specific quiry to be answered not the entire AI system of parameters. The human brain also work like that only activating a few of the about 360 neural networks it has in order to do a specific job like reading a book, running or someting else. </v>
      </c>
      <c r="Y207" s="173" t="str">
        <f t="shared" si="45"/>
        <v>AI network if over 1 it is called a mixture-of-expert MoE AI model</v>
      </c>
      <c r="Z207" s="173" t="str">
        <f t="shared" si="45"/>
        <v>Exaflops</v>
      </c>
      <c r="AA207" s="173" t="str">
        <f t="shared" si="45"/>
        <v>million $</v>
      </c>
      <c r="AB207" s="182" t="str">
        <f t="shared" si="45"/>
        <v>model</v>
      </c>
    </row>
    <row r="208" spans="2:29" ht="21.5" thickTop="1" x14ac:dyDescent="0.5">
      <c r="B208">
        <v>1</v>
      </c>
      <c r="C208" s="699" t="str">
        <f t="shared" ref="C208:C240" si="46">C9</f>
        <v>AI models for mainly Large Language Models mostly based on the transformer neural network architecture</v>
      </c>
      <c r="D208" s="210"/>
      <c r="E208" s="210"/>
      <c r="F208" s="210"/>
      <c r="G208" s="210"/>
      <c r="H208" s="210"/>
      <c r="I208" s="210"/>
      <c r="J208" s="210"/>
      <c r="K208" s="210"/>
      <c r="L208" s="210"/>
      <c r="M208" s="210"/>
      <c r="N208" s="210"/>
      <c r="O208" s="210"/>
      <c r="P208" s="210"/>
      <c r="Q208" s="210"/>
      <c r="R208" s="210"/>
      <c r="S208" s="210"/>
      <c r="T208" s="210"/>
      <c r="U208" s="210"/>
      <c r="V208" s="210"/>
      <c r="W208" s="210"/>
      <c r="X208" s="210"/>
      <c r="Y208" s="210"/>
      <c r="Z208" s="210"/>
      <c r="AA208" s="210"/>
      <c r="AB208" s="557"/>
      <c r="AC208">
        <v>1</v>
      </c>
    </row>
    <row r="209" spans="2:31" x14ac:dyDescent="0.35">
      <c r="B209">
        <f t="shared" ref="B209:B265" si="47">B208+1</f>
        <v>2</v>
      </c>
      <c r="C209" s="23" t="str">
        <f t="shared" si="46"/>
        <v>GPT-1 by OpenAI see https://platform.openai.com/docs/models</v>
      </c>
      <c r="D209" t="s">
        <v>1085</v>
      </c>
      <c r="E209" s="131" t="s">
        <v>1085</v>
      </c>
      <c r="F209" s="131" t="s">
        <v>1085</v>
      </c>
      <c r="G209" s="412" t="s">
        <v>45</v>
      </c>
      <c r="H209" s="412" t="s">
        <v>45</v>
      </c>
      <c r="I209" s="29" t="s">
        <v>1566</v>
      </c>
      <c r="J209" s="101" t="s">
        <v>1085</v>
      </c>
      <c r="K209" s="29" t="s">
        <v>135</v>
      </c>
      <c r="L209" s="101" t="s">
        <v>292</v>
      </c>
      <c r="M209" t="s">
        <v>135</v>
      </c>
      <c r="N209" s="97" t="s">
        <v>135</v>
      </c>
      <c r="O209" s="29" t="s">
        <v>135</v>
      </c>
      <c r="P209" s="97" t="s">
        <v>135</v>
      </c>
      <c r="Q209" s="29" t="s">
        <v>135</v>
      </c>
      <c r="R209" s="29"/>
      <c r="S209" s="29"/>
      <c r="T209" s="28" t="s">
        <v>1091</v>
      </c>
      <c r="U209" s="47" t="s">
        <v>135</v>
      </c>
      <c r="V209" s="140" t="s">
        <v>1089</v>
      </c>
      <c r="W209" s="15" t="s">
        <v>1086</v>
      </c>
      <c r="X209" s="721" t="s">
        <v>45</v>
      </c>
      <c r="Y209" s="48" t="s">
        <v>45</v>
      </c>
      <c r="Z209" s="140" t="s">
        <v>1343</v>
      </c>
      <c r="AA209" s="48" t="s">
        <v>45</v>
      </c>
      <c r="AB209" s="43"/>
      <c r="AC209">
        <f t="shared" ref="AC209:AC295" si="48">AC208+1</f>
        <v>2</v>
      </c>
    </row>
    <row r="210" spans="2:31" x14ac:dyDescent="0.35">
      <c r="B210">
        <f t="shared" si="47"/>
        <v>3</v>
      </c>
      <c r="C210" s="23" t="str">
        <f t="shared" si="46"/>
        <v>GPT-2 by OpenAI, 13x bigger GPT-1</v>
      </c>
      <c r="D210" s="14" t="s">
        <v>1087</v>
      </c>
      <c r="E210" s="131" t="s">
        <v>1087</v>
      </c>
      <c r="F210" s="131" t="s">
        <v>1087</v>
      </c>
      <c r="G210" s="412" t="s">
        <v>45</v>
      </c>
      <c r="H210" s="412" t="s">
        <v>45</v>
      </c>
      <c r="I210" s="29" t="s">
        <v>1566</v>
      </c>
      <c r="J210" s="140" t="s">
        <v>1087</v>
      </c>
      <c r="K210" s="29" t="s">
        <v>135</v>
      </c>
      <c r="L210" s="101" t="s">
        <v>292</v>
      </c>
      <c r="M210" t="s">
        <v>135</v>
      </c>
      <c r="N210" s="97" t="s">
        <v>135</v>
      </c>
      <c r="O210" s="29" t="s">
        <v>135</v>
      </c>
      <c r="P210" s="97" t="s">
        <v>135</v>
      </c>
      <c r="Q210" s="29" t="s">
        <v>135</v>
      </c>
      <c r="R210" s="29"/>
      <c r="S210" s="29"/>
      <c r="T210" s="47" t="s">
        <v>1092</v>
      </c>
      <c r="U210" s="47" t="s">
        <v>135</v>
      </c>
      <c r="V210" s="98" t="s">
        <v>1089</v>
      </c>
      <c r="W210" s="15" t="s">
        <v>1086</v>
      </c>
      <c r="X210" s="721" t="s">
        <v>45</v>
      </c>
      <c r="Y210" s="48" t="s">
        <v>45</v>
      </c>
      <c r="Z210" s="101" t="s">
        <v>1345</v>
      </c>
      <c r="AA210" s="48" t="s">
        <v>45</v>
      </c>
      <c r="AB210" s="43"/>
      <c r="AC210">
        <f t="shared" si="48"/>
        <v>3</v>
      </c>
    </row>
    <row r="211" spans="2:31" x14ac:dyDescent="0.35">
      <c r="B211">
        <f t="shared" si="47"/>
        <v>4</v>
      </c>
      <c r="C211" s="23" t="str">
        <f t="shared" si="46"/>
        <v>GPT-3 by OpenAI, 116x bigger GPT-2</v>
      </c>
      <c r="D211" s="28" t="s">
        <v>167</v>
      </c>
      <c r="E211" s="28" t="s">
        <v>168</v>
      </c>
      <c r="F211" s="28" t="s">
        <v>171</v>
      </c>
      <c r="G211" s="28" t="s">
        <v>171</v>
      </c>
      <c r="H211" s="412" t="s">
        <v>45</v>
      </c>
      <c r="I211" s="29" t="s">
        <v>1566</v>
      </c>
      <c r="J211" s="101" t="s">
        <v>167</v>
      </c>
      <c r="K211" s="29" t="s">
        <v>135</v>
      </c>
      <c r="L211" s="101" t="s">
        <v>292</v>
      </c>
      <c r="M211" t="s">
        <v>135</v>
      </c>
      <c r="N211" s="97" t="s">
        <v>135</v>
      </c>
      <c r="O211" s="29" t="s">
        <v>135</v>
      </c>
      <c r="P211" s="97" t="s">
        <v>135</v>
      </c>
      <c r="Q211" s="29" t="s">
        <v>135</v>
      </c>
      <c r="R211" s="28" t="s">
        <v>1151</v>
      </c>
      <c r="S211" s="29" t="s">
        <v>860</v>
      </c>
      <c r="T211" s="28" t="s">
        <v>167</v>
      </c>
      <c r="U211" s="28" t="s">
        <v>346</v>
      </c>
      <c r="V211" s="97" t="s">
        <v>135</v>
      </c>
      <c r="W211" s="15" t="s">
        <v>1086</v>
      </c>
      <c r="X211" s="721" t="s">
        <v>45</v>
      </c>
      <c r="Y211" s="48" t="s">
        <v>45</v>
      </c>
      <c r="Z211" s="101" t="s">
        <v>1344</v>
      </c>
      <c r="AA211" s="28" t="s">
        <v>1151</v>
      </c>
      <c r="AB211" s="43" t="s">
        <v>43</v>
      </c>
      <c r="AC211">
        <f t="shared" si="48"/>
        <v>4</v>
      </c>
    </row>
    <row r="212" spans="2:31" x14ac:dyDescent="0.35">
      <c r="B212">
        <f t="shared" si="47"/>
        <v>5</v>
      </c>
      <c r="C212" s="23" t="str">
        <f t="shared" si="46"/>
        <v>ChatGPT, user interphase or wrapper for OpenAI's AI models</v>
      </c>
      <c r="D212" s="28" t="s">
        <v>1910</v>
      </c>
      <c r="E212" s="29" t="s">
        <v>45</v>
      </c>
      <c r="F212" s="29" t="s">
        <v>45</v>
      </c>
      <c r="G212" s="29" t="s">
        <v>45</v>
      </c>
      <c r="H212" s="29" t="s">
        <v>45</v>
      </c>
      <c r="I212" s="29" t="s">
        <v>45</v>
      </c>
      <c r="J212" s="553" t="s">
        <v>45</v>
      </c>
      <c r="K212" s="29" t="s">
        <v>45</v>
      </c>
      <c r="L212" s="553" t="s">
        <v>45</v>
      </c>
      <c r="M212" s="199" t="s">
        <v>45</v>
      </c>
      <c r="N212" s="97" t="s">
        <v>45</v>
      </c>
      <c r="O212" s="29" t="s">
        <v>45</v>
      </c>
      <c r="P212" s="97" t="s">
        <v>45</v>
      </c>
      <c r="Q212" s="29" t="s">
        <v>45</v>
      </c>
      <c r="R212" s="29" t="s">
        <v>45</v>
      </c>
      <c r="S212" s="29" t="s">
        <v>45</v>
      </c>
      <c r="T212" s="29" t="s">
        <v>45</v>
      </c>
      <c r="U212" s="29" t="s">
        <v>45</v>
      </c>
      <c r="V212" s="97" t="s">
        <v>45</v>
      </c>
      <c r="W212" s="47" t="s">
        <v>45</v>
      </c>
      <c r="X212" s="721" t="s">
        <v>45</v>
      </c>
      <c r="Y212" s="48" t="s">
        <v>45</v>
      </c>
      <c r="Z212" s="553" t="s">
        <v>45</v>
      </c>
      <c r="AA212" s="29" t="s">
        <v>45</v>
      </c>
      <c r="AB212" s="531" t="s">
        <v>45</v>
      </c>
      <c r="AC212">
        <f t="shared" si="48"/>
        <v>5</v>
      </c>
    </row>
    <row r="213" spans="2:31" x14ac:dyDescent="0.35">
      <c r="B213">
        <f t="shared" si="47"/>
        <v>6</v>
      </c>
      <c r="C213" s="23" t="str">
        <f t="shared" si="46"/>
        <v>GPT-3.5 by OpenAI, refined GPT-3</v>
      </c>
      <c r="D213" s="15" t="s">
        <v>177</v>
      </c>
      <c r="E213" s="15" t="s">
        <v>184</v>
      </c>
      <c r="F213" t="s">
        <v>171</v>
      </c>
      <c r="G213" t="s">
        <v>171</v>
      </c>
      <c r="H213" s="412" t="s">
        <v>45</v>
      </c>
      <c r="I213" s="29" t="s">
        <v>1566</v>
      </c>
      <c r="J213" s="98" t="s">
        <v>178</v>
      </c>
      <c r="K213" s="29" t="s">
        <v>135</v>
      </c>
      <c r="L213" s="101" t="s">
        <v>292</v>
      </c>
      <c r="M213" t="s">
        <v>135</v>
      </c>
      <c r="N213" s="97" t="s">
        <v>135</v>
      </c>
      <c r="O213" s="29" t="s">
        <v>135</v>
      </c>
      <c r="P213" s="97" t="s">
        <v>135</v>
      </c>
      <c r="Q213" s="29" t="s">
        <v>135</v>
      </c>
      <c r="R213" s="29"/>
      <c r="S213" s="29" t="s">
        <v>860</v>
      </c>
      <c r="T213" s="15" t="s">
        <v>182</v>
      </c>
      <c r="U213" s="47" t="s">
        <v>479</v>
      </c>
      <c r="V213" s="97" t="s">
        <v>135</v>
      </c>
      <c r="W213" s="15" t="s">
        <v>1086</v>
      </c>
      <c r="X213" s="314" t="s">
        <v>45</v>
      </c>
      <c r="Y213" s="14" t="s">
        <v>1328</v>
      </c>
      <c r="Z213" s="140" t="s">
        <v>1352</v>
      </c>
      <c r="AA213" s="8" t="s">
        <v>45</v>
      </c>
      <c r="AB213" s="43"/>
      <c r="AC213">
        <f t="shared" si="48"/>
        <v>6</v>
      </c>
    </row>
    <row r="214" spans="2:31" x14ac:dyDescent="0.35">
      <c r="B214">
        <f t="shared" si="47"/>
        <v>7</v>
      </c>
      <c r="C214" s="23" t="str">
        <f t="shared" si="46"/>
        <v>GPT-3.5-turbo by OpenAI, distilled GPT-3.5</v>
      </c>
      <c r="D214" s="15" t="s">
        <v>669</v>
      </c>
      <c r="E214" s="47" t="s">
        <v>994</v>
      </c>
      <c r="F214" t="s">
        <v>45</v>
      </c>
      <c r="G214" t="s">
        <v>45</v>
      </c>
      <c r="H214" s="412" t="s">
        <v>45</v>
      </c>
      <c r="I214" s="29" t="s">
        <v>1567</v>
      </c>
      <c r="J214" s="98" t="s">
        <v>669</v>
      </c>
      <c r="K214" s="29"/>
      <c r="L214" s="101" t="s">
        <v>292</v>
      </c>
      <c r="M214" t="s">
        <v>135</v>
      </c>
      <c r="N214" s="97" t="s">
        <v>135</v>
      </c>
      <c r="O214" s="29" t="s">
        <v>135</v>
      </c>
      <c r="P214" s="97" t="s">
        <v>135</v>
      </c>
      <c r="Q214" s="29" t="s">
        <v>135</v>
      </c>
      <c r="R214" s="29"/>
      <c r="S214" s="29" t="s">
        <v>860</v>
      </c>
      <c r="T214" s="15"/>
      <c r="U214" s="47"/>
      <c r="V214" s="97"/>
      <c r="W214" s="15" t="s">
        <v>1086</v>
      </c>
      <c r="X214" s="314" t="s">
        <v>45</v>
      </c>
      <c r="Y214" s="8"/>
      <c r="Z214" s="314" t="s">
        <v>45</v>
      </c>
      <c r="AA214" s="8"/>
      <c r="AB214" s="43"/>
      <c r="AC214">
        <f t="shared" si="48"/>
        <v>7</v>
      </c>
    </row>
    <row r="215" spans="2:31" x14ac:dyDescent="0.35">
      <c r="B215">
        <f t="shared" si="47"/>
        <v>8</v>
      </c>
      <c r="C215" s="23" t="str">
        <f t="shared" si="46"/>
        <v>GPT-4 by OpenAI, 10X bigger GPT-3</v>
      </c>
      <c r="D215" s="15" t="s">
        <v>168</v>
      </c>
      <c r="E215" s="15" t="s">
        <v>183</v>
      </c>
      <c r="F215" t="s">
        <v>171</v>
      </c>
      <c r="G215" t="s">
        <v>171</v>
      </c>
      <c r="H215" s="412" t="s">
        <v>45</v>
      </c>
      <c r="I215" s="29" t="s">
        <v>1568</v>
      </c>
      <c r="J215" s="98" t="s">
        <v>185</v>
      </c>
      <c r="K215" s="28" t="s">
        <v>185</v>
      </c>
      <c r="L215" s="101" t="s">
        <v>292</v>
      </c>
      <c r="M215" t="s">
        <v>185</v>
      </c>
      <c r="N215" s="98" t="s">
        <v>185</v>
      </c>
      <c r="O215" s="28" t="s">
        <v>185</v>
      </c>
      <c r="P215" s="97" t="s">
        <v>135</v>
      </c>
      <c r="Q215" s="29" t="s">
        <v>135</v>
      </c>
      <c r="R215" s="28" t="s">
        <v>1151</v>
      </c>
      <c r="S215" s="29" t="s">
        <v>860</v>
      </c>
      <c r="T215" s="15" t="s">
        <v>181</v>
      </c>
      <c r="U215" s="15" t="s">
        <v>185</v>
      </c>
      <c r="V215" s="97" t="s">
        <v>135</v>
      </c>
      <c r="W215" s="15" t="s">
        <v>1086</v>
      </c>
      <c r="X215" s="98" t="s">
        <v>185</v>
      </c>
      <c r="Y215" s="15" t="s">
        <v>185</v>
      </c>
      <c r="Z215" s="550" t="s">
        <v>1740</v>
      </c>
      <c r="AA215" s="15" t="s">
        <v>185</v>
      </c>
      <c r="AB215" s="563" t="s">
        <v>1519</v>
      </c>
      <c r="AC215">
        <f t="shared" si="48"/>
        <v>8</v>
      </c>
      <c r="AD215" s="14" t="s">
        <v>1741</v>
      </c>
      <c r="AE215" t="s">
        <v>45</v>
      </c>
    </row>
    <row r="216" spans="2:31" x14ac:dyDescent="0.35">
      <c r="B216">
        <f t="shared" si="47"/>
        <v>9</v>
      </c>
      <c r="C216" s="23" t="str">
        <f t="shared" si="46"/>
        <v>GPT-4o by OpenAI, distilled GPT-4 + other stuff</v>
      </c>
      <c r="D216" s="15" t="s">
        <v>769</v>
      </c>
      <c r="E216" s="15" t="s">
        <v>769</v>
      </c>
      <c r="F216" s="15" t="s">
        <v>769</v>
      </c>
      <c r="G216" s="15" t="s">
        <v>769</v>
      </c>
      <c r="H216" s="28" t="s">
        <v>1781</v>
      </c>
      <c r="I216" s="29" t="s">
        <v>1569</v>
      </c>
      <c r="J216" s="106" t="s">
        <v>1537</v>
      </c>
      <c r="K216" s="145" t="s">
        <v>135</v>
      </c>
      <c r="L216" s="101" t="s">
        <v>292</v>
      </c>
      <c r="M216" t="s">
        <v>135</v>
      </c>
      <c r="N216" s="97" t="s">
        <v>135</v>
      </c>
      <c r="O216" s="29" t="s">
        <v>135</v>
      </c>
      <c r="P216" s="97" t="s">
        <v>135</v>
      </c>
      <c r="Q216" s="29" t="s">
        <v>135</v>
      </c>
      <c r="R216" s="29"/>
      <c r="S216" s="29"/>
      <c r="T216" s="39" t="s">
        <v>775</v>
      </c>
      <c r="U216" s="213" t="s">
        <v>45</v>
      </c>
      <c r="V216" s="106" t="s">
        <v>1806</v>
      </c>
      <c r="W216" s="15" t="s">
        <v>1086</v>
      </c>
      <c r="X216" s="500" t="s">
        <v>45</v>
      </c>
      <c r="Y216" s="213" t="s">
        <v>45</v>
      </c>
      <c r="Z216" s="500" t="s">
        <v>45</v>
      </c>
      <c r="AA216" s="551" t="s">
        <v>45</v>
      </c>
      <c r="AB216" s="43"/>
      <c r="AC216">
        <f t="shared" si="48"/>
        <v>9</v>
      </c>
    </row>
    <row r="217" spans="2:31" x14ac:dyDescent="0.35">
      <c r="B217">
        <f t="shared" si="47"/>
        <v>10</v>
      </c>
      <c r="C217" s="23" t="str">
        <f t="shared" si="46"/>
        <v>GPT-4o mini, distilled GPT-4o + other stuff</v>
      </c>
      <c r="D217" s="15" t="s">
        <v>1774</v>
      </c>
      <c r="E217" s="15" t="s">
        <v>1774</v>
      </c>
      <c r="F217" s="15" t="s">
        <v>1774</v>
      </c>
      <c r="G217" s="15" t="s">
        <v>1774</v>
      </c>
      <c r="H217" s="412" t="s">
        <v>1781</v>
      </c>
      <c r="I217" s="29" t="s">
        <v>1570</v>
      </c>
      <c r="J217" s="96" t="s">
        <v>1775</v>
      </c>
      <c r="K217" s="145" t="s">
        <v>135</v>
      </c>
      <c r="L217" s="101" t="s">
        <v>292</v>
      </c>
      <c r="M217" t="s">
        <v>135</v>
      </c>
      <c r="N217" s="97" t="s">
        <v>135</v>
      </c>
      <c r="O217" s="29" t="s">
        <v>135</v>
      </c>
      <c r="P217" s="97" t="s">
        <v>135</v>
      </c>
      <c r="Q217" s="29" t="s">
        <v>135</v>
      </c>
      <c r="R217" s="29"/>
      <c r="S217" s="29"/>
      <c r="T217" s="39"/>
      <c r="U217" s="213"/>
      <c r="V217" s="106"/>
      <c r="W217" s="15"/>
      <c r="X217" s="500"/>
      <c r="Y217" s="213"/>
      <c r="Z217" s="500"/>
      <c r="AA217" s="551"/>
      <c r="AB217" s="43"/>
      <c r="AC217">
        <f t="shared" si="48"/>
        <v>10</v>
      </c>
    </row>
    <row r="218" spans="2:31" x14ac:dyDescent="0.35">
      <c r="B218">
        <f t="shared" si="47"/>
        <v>11</v>
      </c>
      <c r="C218" s="23" t="str">
        <f t="shared" si="46"/>
        <v>o1 by OpenAI, agentic workflow system for ai reasoning</v>
      </c>
      <c r="D218" s="15" t="s">
        <v>1106</v>
      </c>
      <c r="E218" s="15" t="s">
        <v>1106</v>
      </c>
      <c r="F218" s="15" t="s">
        <v>1106</v>
      </c>
      <c r="G218" s="131" t="s">
        <v>1557</v>
      </c>
      <c r="H218" s="28" t="s">
        <v>1781</v>
      </c>
      <c r="I218" s="29" t="s">
        <v>1570</v>
      </c>
      <c r="J218" s="96" t="s">
        <v>1537</v>
      </c>
      <c r="K218" s="145" t="s">
        <v>135</v>
      </c>
      <c r="L218" s="101" t="s">
        <v>292</v>
      </c>
      <c r="M218" t="s">
        <v>135</v>
      </c>
      <c r="N218" s="97" t="s">
        <v>135</v>
      </c>
      <c r="O218" s="29" t="s">
        <v>135</v>
      </c>
      <c r="P218" s="97" t="s">
        <v>135</v>
      </c>
      <c r="Q218" s="29" t="s">
        <v>135</v>
      </c>
      <c r="R218" s="29"/>
      <c r="S218" s="29"/>
      <c r="T218" s="39" t="s">
        <v>1112</v>
      </c>
      <c r="U218" s="431" t="s">
        <v>2445</v>
      </c>
      <c r="V218" s="97" t="s">
        <v>135</v>
      </c>
      <c r="W218" s="15" t="s">
        <v>1086</v>
      </c>
      <c r="X218" s="500" t="s">
        <v>45</v>
      </c>
      <c r="Y218" s="213"/>
      <c r="Z218" s="500" t="s">
        <v>45</v>
      </c>
      <c r="AA218" s="551"/>
      <c r="AB218" s="43"/>
      <c r="AC218">
        <f t="shared" si="48"/>
        <v>11</v>
      </c>
    </row>
    <row r="219" spans="2:31" x14ac:dyDescent="0.35">
      <c r="B219">
        <f t="shared" si="47"/>
        <v>12</v>
      </c>
      <c r="C219" s="23" t="str">
        <f t="shared" si="46"/>
        <v xml:space="preserve">o1 mini by OpenAI </v>
      </c>
      <c r="D219" s="15" t="s">
        <v>1778</v>
      </c>
      <c r="E219" s="15" t="s">
        <v>1778</v>
      </c>
      <c r="F219" s="15"/>
      <c r="G219" s="131"/>
      <c r="H219" s="28" t="s">
        <v>1781</v>
      </c>
      <c r="I219" s="29" t="s">
        <v>1569</v>
      </c>
      <c r="J219" s="96" t="s">
        <v>1779</v>
      </c>
      <c r="K219" s="145" t="s">
        <v>135</v>
      </c>
      <c r="L219" s="101" t="s">
        <v>292</v>
      </c>
      <c r="M219" t="s">
        <v>135</v>
      </c>
      <c r="N219" s="97" t="s">
        <v>135</v>
      </c>
      <c r="O219" s="29" t="s">
        <v>135</v>
      </c>
      <c r="P219" s="97" t="s">
        <v>135</v>
      </c>
      <c r="Q219" s="29" t="s">
        <v>135</v>
      </c>
      <c r="R219" s="29"/>
      <c r="S219" s="29"/>
      <c r="T219" s="39" t="s">
        <v>1780</v>
      </c>
      <c r="U219" s="213" t="s">
        <v>45</v>
      </c>
      <c r="V219" s="106"/>
      <c r="W219" s="15"/>
      <c r="X219" s="500"/>
      <c r="Y219" s="213"/>
      <c r="Z219" s="500"/>
      <c r="AA219" s="551"/>
      <c r="AB219" s="43"/>
      <c r="AC219">
        <f t="shared" si="48"/>
        <v>12</v>
      </c>
    </row>
    <row r="220" spans="2:31" ht="333.5" x14ac:dyDescent="0.35">
      <c r="B220">
        <f t="shared" si="47"/>
        <v>13</v>
      </c>
      <c r="C220" s="23" t="str">
        <f t="shared" si="46"/>
        <v>o3 mini (high) by OpenAI better than o1 regarding STEM queries (great for RL optimization)</v>
      </c>
      <c r="D220" s="47" t="s">
        <v>1859</v>
      </c>
      <c r="E220" s="47" t="s">
        <v>1859</v>
      </c>
      <c r="F220" s="47" t="s">
        <v>1859</v>
      </c>
      <c r="G220" s="47" t="s">
        <v>1859</v>
      </c>
      <c r="H220" s="29" t="s">
        <v>1781</v>
      </c>
      <c r="I220" s="29" t="s">
        <v>1569</v>
      </c>
      <c r="J220" s="96" t="s">
        <v>2445</v>
      </c>
      <c r="K220" s="145" t="s">
        <v>135</v>
      </c>
      <c r="L220" s="101" t="s">
        <v>292</v>
      </c>
      <c r="M220" t="s">
        <v>135</v>
      </c>
      <c r="N220" s="97" t="s">
        <v>135</v>
      </c>
      <c r="O220" s="29" t="s">
        <v>135</v>
      </c>
      <c r="P220" s="97" t="s">
        <v>135</v>
      </c>
      <c r="Q220" s="29" t="s">
        <v>135</v>
      </c>
      <c r="R220" s="1203" t="s">
        <v>1945</v>
      </c>
      <c r="S220" s="47" t="s">
        <v>860</v>
      </c>
      <c r="T220" s="145" t="s">
        <v>1869</v>
      </c>
      <c r="U220" s="224" t="s">
        <v>45</v>
      </c>
      <c r="V220" s="106" t="s">
        <v>45</v>
      </c>
      <c r="W220" s="47" t="s">
        <v>45</v>
      </c>
      <c r="X220" s="433" t="s">
        <v>45</v>
      </c>
      <c r="Y220" s="224" t="s">
        <v>45</v>
      </c>
      <c r="Z220" s="101" t="s">
        <v>43</v>
      </c>
      <c r="AA220" t="s">
        <v>43</v>
      </c>
      <c r="AB220" s="530" t="s">
        <v>1894</v>
      </c>
      <c r="AC220">
        <f t="shared" si="48"/>
        <v>13</v>
      </c>
    </row>
    <row r="221" spans="2:31" x14ac:dyDescent="0.35">
      <c r="B221">
        <f t="shared" si="47"/>
        <v>14</v>
      </c>
      <c r="C221" s="23" t="str">
        <f t="shared" si="46"/>
        <v>o3 powering Deep research agent by OpenAI</v>
      </c>
      <c r="D221" s="47" t="s">
        <v>1930</v>
      </c>
      <c r="E221" s="711" t="s">
        <v>2091</v>
      </c>
      <c r="F221" s="47" t="s">
        <v>1930</v>
      </c>
      <c r="G221" s="47" t="s">
        <v>1930</v>
      </c>
      <c r="H221" s="47" t="s">
        <v>1930</v>
      </c>
      <c r="I221" s="29" t="s">
        <v>1569</v>
      </c>
      <c r="J221" s="106" t="s">
        <v>2445</v>
      </c>
      <c r="K221" s="145" t="s">
        <v>135</v>
      </c>
      <c r="L221" s="101" t="s">
        <v>292</v>
      </c>
      <c r="M221" t="s">
        <v>135</v>
      </c>
      <c r="N221" s="97" t="s">
        <v>135</v>
      </c>
      <c r="O221" s="29" t="s">
        <v>135</v>
      </c>
      <c r="P221" s="97" t="s">
        <v>135</v>
      </c>
      <c r="Q221" s="29" t="s">
        <v>135</v>
      </c>
      <c r="R221" s="646" t="s">
        <v>1945</v>
      </c>
      <c r="S221" s="47" t="s">
        <v>860</v>
      </c>
      <c r="T221" s="145"/>
      <c r="U221" s="224" t="s">
        <v>45</v>
      </c>
      <c r="V221" s="106" t="s">
        <v>45</v>
      </c>
      <c r="W221" s="47" t="s">
        <v>45</v>
      </c>
      <c r="X221" s="433" t="s">
        <v>45</v>
      </c>
      <c r="Y221" s="224" t="s">
        <v>45</v>
      </c>
      <c r="Z221" s="101" t="s">
        <v>43</v>
      </c>
      <c r="AA221" t="s">
        <v>43</v>
      </c>
      <c r="AB221" s="530"/>
      <c r="AC221">
        <f t="shared" si="48"/>
        <v>14</v>
      </c>
    </row>
    <row r="222" spans="2:31" x14ac:dyDescent="0.35">
      <c r="B222">
        <f t="shared" si="47"/>
        <v>15</v>
      </c>
      <c r="C222" s="23" t="str">
        <f t="shared" si="46"/>
        <v>GPT-4.5 preview bigger than GPT-4 and OpenAIs last not-chain-of-thought model. See https://x.com/sama/status/1889755723078443244</v>
      </c>
      <c r="D222" s="15" t="s">
        <v>2359</v>
      </c>
      <c r="E222" s="47" t="s">
        <v>2359</v>
      </c>
      <c r="F222" s="47" t="s">
        <v>2359</v>
      </c>
      <c r="G222" s="47" t="s">
        <v>2359</v>
      </c>
      <c r="H222" s="711" t="s">
        <v>1781</v>
      </c>
      <c r="I222" s="29" t="s">
        <v>2385</v>
      </c>
      <c r="J222" s="106" t="s">
        <v>2444</v>
      </c>
      <c r="K222" s="145" t="s">
        <v>135</v>
      </c>
      <c r="L222" s="101" t="s">
        <v>292</v>
      </c>
      <c r="M222" t="s">
        <v>135</v>
      </c>
      <c r="N222" s="97" t="s">
        <v>135</v>
      </c>
      <c r="O222" s="29" t="s">
        <v>135</v>
      </c>
      <c r="P222" s="97" t="s">
        <v>135</v>
      </c>
      <c r="Q222" s="29" t="s">
        <v>135</v>
      </c>
      <c r="R222" s="646" t="s">
        <v>1945</v>
      </c>
      <c r="S222" s="47" t="s">
        <v>860</v>
      </c>
      <c r="T222" s="39" t="s">
        <v>2390</v>
      </c>
      <c r="U222" s="145" t="s">
        <v>2445</v>
      </c>
      <c r="V222" s="97" t="s">
        <v>135</v>
      </c>
      <c r="W222" s="47" t="s">
        <v>45</v>
      </c>
      <c r="X222" s="433" t="s">
        <v>45</v>
      </c>
      <c r="Y222" s="224" t="s">
        <v>45</v>
      </c>
      <c r="Z222" s="101" t="s">
        <v>43</v>
      </c>
      <c r="AA222" t="s">
        <v>43</v>
      </c>
      <c r="AB222" s="530" t="s">
        <v>2389</v>
      </c>
      <c r="AC222">
        <f t="shared" si="48"/>
        <v>15</v>
      </c>
    </row>
    <row r="223" spans="2:31" x14ac:dyDescent="0.35">
      <c r="B223">
        <f t="shared" si="47"/>
        <v>16</v>
      </c>
      <c r="C223" s="568" t="str">
        <f t="shared" si="46"/>
        <v>Weak AGI &amp; sub human level androids - Semi-life</v>
      </c>
      <c r="D223" s="594" t="s">
        <v>1808</v>
      </c>
      <c r="E223" s="594"/>
      <c r="F223" s="594" t="s">
        <v>45</v>
      </c>
      <c r="G223" s="594" t="s">
        <v>2267</v>
      </c>
      <c r="H223" s="600" t="s">
        <v>2268</v>
      </c>
      <c r="I223" s="594" t="s">
        <v>45</v>
      </c>
      <c r="J223" s="1" t="s">
        <v>292</v>
      </c>
      <c r="K223" s="595" t="s">
        <v>135</v>
      </c>
      <c r="L223" s="570" t="s">
        <v>292</v>
      </c>
      <c r="M223" s="570" t="s">
        <v>135</v>
      </c>
      <c r="N223" s="594" t="s">
        <v>135</v>
      </c>
      <c r="O223" s="594" t="s">
        <v>135</v>
      </c>
      <c r="P223" s="594" t="s">
        <v>135</v>
      </c>
      <c r="Q223" s="594" t="s">
        <v>135</v>
      </c>
      <c r="R223" s="594"/>
      <c r="S223" s="594" t="s">
        <v>860</v>
      </c>
      <c r="T223" s="595"/>
      <c r="U223" s="595" t="s">
        <v>292</v>
      </c>
      <c r="V223" s="595" t="s">
        <v>1807</v>
      </c>
      <c r="W223" s="570" t="s">
        <v>1086</v>
      </c>
      <c r="X223" s="596" t="s">
        <v>45</v>
      </c>
      <c r="Y223" s="596"/>
      <c r="Z223" s="596" t="s">
        <v>45</v>
      </c>
      <c r="AA223" s="594"/>
      <c r="AB223" s="597"/>
      <c r="AC223">
        <f t="shared" si="48"/>
        <v>16</v>
      </c>
    </row>
    <row r="224" spans="2:31" x14ac:dyDescent="0.35">
      <c r="B224">
        <f t="shared" si="47"/>
        <v>17</v>
      </c>
      <c r="C224" s="587" t="str">
        <f t="shared" si="46"/>
        <v xml:space="preserve">Strong AGI &amp; human level androids - Life 3.0 </v>
      </c>
      <c r="D224" s="594" t="s">
        <v>1808</v>
      </c>
      <c r="E224" s="594"/>
      <c r="F224" s="594" t="s">
        <v>45</v>
      </c>
      <c r="G224" s="594" t="s">
        <v>2267</v>
      </c>
      <c r="H224" s="600" t="s">
        <v>2268</v>
      </c>
      <c r="I224" s="594" t="s">
        <v>45</v>
      </c>
      <c r="J224" s="1" t="s">
        <v>292</v>
      </c>
      <c r="K224" s="595" t="s">
        <v>135</v>
      </c>
      <c r="L224" s="570" t="s">
        <v>292</v>
      </c>
      <c r="M224" s="570" t="s">
        <v>135</v>
      </c>
      <c r="N224" s="594" t="s">
        <v>135</v>
      </c>
      <c r="O224" s="594" t="s">
        <v>135</v>
      </c>
      <c r="P224" s="594" t="s">
        <v>135</v>
      </c>
      <c r="Q224" s="594" t="s">
        <v>135</v>
      </c>
      <c r="R224" s="594"/>
      <c r="S224" s="594" t="s">
        <v>860</v>
      </c>
      <c r="T224" s="595"/>
      <c r="U224" s="595" t="s">
        <v>292</v>
      </c>
      <c r="V224" s="595" t="s">
        <v>1807</v>
      </c>
      <c r="W224" s="570" t="s">
        <v>1756</v>
      </c>
      <c r="X224" s="596" t="s">
        <v>45</v>
      </c>
      <c r="Y224" s="596"/>
      <c r="Z224" s="596" t="s">
        <v>45</v>
      </c>
      <c r="AA224" s="594"/>
      <c r="AB224" s="739"/>
      <c r="AC224">
        <f t="shared" si="48"/>
        <v>17</v>
      </c>
    </row>
    <row r="225" spans="2:31" x14ac:dyDescent="0.35">
      <c r="B225">
        <f t="shared" si="47"/>
        <v>18</v>
      </c>
      <c r="C225" s="517" t="str">
        <f t="shared" si="46"/>
        <v>Artificial super humans &amp; AGI is internal - Life 3.5</v>
      </c>
      <c r="D225" s="1" t="s">
        <v>292</v>
      </c>
      <c r="E225" s="1" t="s">
        <v>292</v>
      </c>
      <c r="F225" s="1" t="s">
        <v>292</v>
      </c>
      <c r="G225" s="594" t="s">
        <v>2267</v>
      </c>
      <c r="H225" s="600" t="s">
        <v>2268</v>
      </c>
      <c r="I225" s="594" t="s">
        <v>45</v>
      </c>
      <c r="J225" s="1" t="s">
        <v>292</v>
      </c>
      <c r="K225" s="509" t="s">
        <v>135</v>
      </c>
      <c r="L225" s="509"/>
      <c r="M225" s="509"/>
      <c r="N225" s="509" t="s">
        <v>292</v>
      </c>
      <c r="O225" s="232" t="s">
        <v>317</v>
      </c>
      <c r="P225" s="509" t="s">
        <v>135</v>
      </c>
      <c r="Q225" s="598" t="s">
        <v>1180</v>
      </c>
      <c r="R225" s="1"/>
      <c r="S225" s="1"/>
      <c r="T225" s="509" t="s">
        <v>45</v>
      </c>
      <c r="U225" s="509" t="s">
        <v>370</v>
      </c>
      <c r="V225" s="509" t="s">
        <v>344</v>
      </c>
      <c r="W225" s="598" t="s">
        <v>618</v>
      </c>
      <c r="X225" s="598" t="s">
        <v>366</v>
      </c>
      <c r="Y225" s="509" t="s">
        <v>369</v>
      </c>
      <c r="Z225" s="509"/>
      <c r="AA225" s="509" t="s">
        <v>997</v>
      </c>
      <c r="AB225" s="599" t="s">
        <v>1887</v>
      </c>
      <c r="AC225">
        <f t="shared" si="48"/>
        <v>18</v>
      </c>
    </row>
    <row r="226" spans="2:31" x14ac:dyDescent="0.35">
      <c r="B226">
        <f t="shared" si="47"/>
        <v>19</v>
      </c>
      <c r="C226" s="23" t="str">
        <f t="shared" si="46"/>
        <v>Copilot by Microsoft copy of GPT-4 initially</v>
      </c>
      <c r="D226" s="15" t="s">
        <v>237</v>
      </c>
      <c r="E226" s="15"/>
      <c r="F226" s="47" t="s">
        <v>235</v>
      </c>
      <c r="G226" s="47" t="s">
        <v>170</v>
      </c>
      <c r="H226" s="449" t="s">
        <v>45</v>
      </c>
      <c r="I226" s="47"/>
      <c r="J226" s="97" t="s">
        <v>480</v>
      </c>
      <c r="K226" s="47" t="s">
        <v>480</v>
      </c>
      <c r="L226" s="101" t="s">
        <v>292</v>
      </c>
      <c r="M226" t="s">
        <v>135</v>
      </c>
      <c r="N226" s="97" t="s">
        <v>480</v>
      </c>
      <c r="O226" s="47" t="s">
        <v>480</v>
      </c>
      <c r="P226" s="97" t="s">
        <v>135</v>
      </c>
      <c r="Q226" s="29" t="s">
        <v>135</v>
      </c>
      <c r="R226" s="29"/>
      <c r="S226" s="29"/>
      <c r="T226" s="47" t="s">
        <v>480</v>
      </c>
      <c r="U226" s="47" t="s">
        <v>480</v>
      </c>
      <c r="V226" s="97" t="s">
        <v>135</v>
      </c>
      <c r="W226" s="15" t="s">
        <v>1086</v>
      </c>
      <c r="X226" s="97" t="s">
        <v>480</v>
      </c>
      <c r="Y226" s="47" t="s">
        <v>480</v>
      </c>
      <c r="Z226" s="47" t="s">
        <v>480</v>
      </c>
      <c r="AA226" s="47" t="s">
        <v>480</v>
      </c>
      <c r="AB226" s="47" t="s">
        <v>480</v>
      </c>
      <c r="AC226">
        <f t="shared" si="48"/>
        <v>19</v>
      </c>
    </row>
    <row r="227" spans="2:31" x14ac:dyDescent="0.35">
      <c r="B227">
        <f t="shared" si="47"/>
        <v>20</v>
      </c>
      <c r="C227" s="23" t="str">
        <f t="shared" si="46"/>
        <v xml:space="preserve">Claude 1 by Anthropic </v>
      </c>
      <c r="D227" s="15" t="s">
        <v>238</v>
      </c>
      <c r="E227" s="15" t="s">
        <v>238</v>
      </c>
      <c r="F227" s="14" t="s">
        <v>236</v>
      </c>
      <c r="G227" t="s">
        <v>45</v>
      </c>
      <c r="H227" s="449" t="s">
        <v>45</v>
      </c>
      <c r="J227" s="98" t="s">
        <v>239</v>
      </c>
      <c r="K227" s="47" t="s">
        <v>135</v>
      </c>
      <c r="L227" s="101" t="s">
        <v>292</v>
      </c>
      <c r="M227" t="s">
        <v>135</v>
      </c>
      <c r="N227" s="97" t="s">
        <v>135</v>
      </c>
      <c r="O227" s="29" t="s">
        <v>135</v>
      </c>
      <c r="P227" s="97" t="s">
        <v>135</v>
      </c>
      <c r="Q227" s="29" t="s">
        <v>135</v>
      </c>
      <c r="R227" s="29"/>
      <c r="S227" s="29"/>
      <c r="T227" s="14" t="s">
        <v>347</v>
      </c>
      <c r="U227" t="s">
        <v>45</v>
      </c>
      <c r="V227" s="101" t="s">
        <v>45</v>
      </c>
      <c r="W227" t="s">
        <v>1086</v>
      </c>
      <c r="X227" s="101" t="s">
        <v>45</v>
      </c>
      <c r="Y227" t="s">
        <v>45</v>
      </c>
      <c r="Z227" s="433" t="s">
        <v>45</v>
      </c>
      <c r="AA227" s="47" t="s">
        <v>45</v>
      </c>
      <c r="AB227" s="43"/>
      <c r="AC227">
        <f t="shared" si="48"/>
        <v>20</v>
      </c>
    </row>
    <row r="228" spans="2:31" x14ac:dyDescent="0.35">
      <c r="B228">
        <f t="shared" si="47"/>
        <v>21</v>
      </c>
      <c r="C228" s="23" t="str">
        <f t="shared" si="46"/>
        <v>Claude 2 by Anthropic</v>
      </c>
      <c r="D228" s="15" t="s">
        <v>1544</v>
      </c>
      <c r="E228" s="15" t="s">
        <v>1544</v>
      </c>
      <c r="F228" s="14" t="s">
        <v>1544</v>
      </c>
      <c r="G228" t="s">
        <v>45</v>
      </c>
      <c r="H228" s="449" t="s">
        <v>45</v>
      </c>
      <c r="J228" s="98" t="s">
        <v>1545</v>
      </c>
      <c r="K228" s="47" t="s">
        <v>135</v>
      </c>
      <c r="L228" s="101" t="s">
        <v>292</v>
      </c>
      <c r="M228" t="s">
        <v>135</v>
      </c>
      <c r="N228" s="97" t="s">
        <v>135</v>
      </c>
      <c r="O228" s="29" t="s">
        <v>135</v>
      </c>
      <c r="P228" s="97" t="s">
        <v>135</v>
      </c>
      <c r="Q228" s="29" t="s">
        <v>135</v>
      </c>
      <c r="R228" s="29"/>
      <c r="S228" s="29"/>
      <c r="T228" s="14" t="s">
        <v>1544</v>
      </c>
      <c r="U228" t="s">
        <v>45</v>
      </c>
      <c r="V228" s="101"/>
      <c r="W228" s="15" t="s">
        <v>1086</v>
      </c>
      <c r="X228" s="500" t="s">
        <v>45</v>
      </c>
      <c r="Z228" s="106" t="s">
        <v>1541</v>
      </c>
      <c r="AA228" s="47" t="s">
        <v>45</v>
      </c>
      <c r="AB228" s="43"/>
      <c r="AC228">
        <f t="shared" si="48"/>
        <v>21</v>
      </c>
    </row>
    <row r="229" spans="2:31" x14ac:dyDescent="0.35">
      <c r="B229">
        <f t="shared" si="47"/>
        <v>22</v>
      </c>
      <c r="C229" s="23" t="str">
        <f t="shared" si="46"/>
        <v xml:space="preserve">Claude 3 Opus by Anthropic </v>
      </c>
      <c r="D229" s="15" t="s">
        <v>755</v>
      </c>
      <c r="E229" s="15" t="s">
        <v>762</v>
      </c>
      <c r="F229" s="15" t="s">
        <v>762</v>
      </c>
      <c r="G229" s="14" t="s">
        <v>761</v>
      </c>
      <c r="H229" s="449" t="s">
        <v>45</v>
      </c>
      <c r="I229" s="14"/>
      <c r="J229" s="98" t="s">
        <v>813</v>
      </c>
      <c r="K229" s="47" t="s">
        <v>135</v>
      </c>
      <c r="L229" s="101" t="s">
        <v>292</v>
      </c>
      <c r="M229" t="s">
        <v>135</v>
      </c>
      <c r="N229" s="97" t="s">
        <v>135</v>
      </c>
      <c r="O229" s="29" t="s">
        <v>135</v>
      </c>
      <c r="P229" s="97" t="s">
        <v>135</v>
      </c>
      <c r="Q229" s="29" t="s">
        <v>135</v>
      </c>
      <c r="R229" s="29" t="s">
        <v>45</v>
      </c>
      <c r="S229" s="29" t="s">
        <v>45</v>
      </c>
      <c r="T229" s="14"/>
      <c r="U229" s="14" t="s">
        <v>813</v>
      </c>
      <c r="V229" s="97" t="s">
        <v>135</v>
      </c>
      <c r="W229" t="s">
        <v>1086</v>
      </c>
      <c r="X229" s="500" t="s">
        <v>45</v>
      </c>
      <c r="Z229" s="106" t="s">
        <v>1536</v>
      </c>
      <c r="AA229" s="47" t="s">
        <v>45</v>
      </c>
      <c r="AB229" s="43"/>
      <c r="AC229">
        <f t="shared" si="48"/>
        <v>22</v>
      </c>
    </row>
    <row r="230" spans="2:31" x14ac:dyDescent="0.35">
      <c r="B230">
        <f t="shared" si="47"/>
        <v>23</v>
      </c>
      <c r="C230" s="23" t="str">
        <f t="shared" si="46"/>
        <v>Claude 3.5 Sonnet, distilled version of Opus, perform as GPT-4o see https://www.anthropic.com/news/claude-3-5-sonnet</v>
      </c>
      <c r="D230" s="15" t="s">
        <v>1539</v>
      </c>
      <c r="E230" s="15" t="s">
        <v>1539</v>
      </c>
      <c r="F230" s="15" t="s">
        <v>1539</v>
      </c>
      <c r="G230" s="14" t="s">
        <v>1539</v>
      </c>
      <c r="H230" s="449" t="s">
        <v>1792</v>
      </c>
      <c r="I230" s="29" t="s">
        <v>1570</v>
      </c>
      <c r="J230" s="98" t="s">
        <v>1537</v>
      </c>
      <c r="K230" s="47" t="s">
        <v>135</v>
      </c>
      <c r="L230" s="101" t="s">
        <v>292</v>
      </c>
      <c r="M230" t="s">
        <v>135</v>
      </c>
      <c r="N230" s="97" t="s">
        <v>135</v>
      </c>
      <c r="O230" s="29" t="s">
        <v>135</v>
      </c>
      <c r="P230" s="97" t="s">
        <v>135</v>
      </c>
      <c r="Q230" s="29" t="s">
        <v>135</v>
      </c>
      <c r="R230" s="29" t="s">
        <v>1896</v>
      </c>
      <c r="S230" s="29" t="s">
        <v>860</v>
      </c>
      <c r="T230" s="14" t="s">
        <v>1538</v>
      </c>
      <c r="U230" s="47" t="s">
        <v>2445</v>
      </c>
      <c r="V230" s="97"/>
      <c r="W230" s="15" t="s">
        <v>1086</v>
      </c>
      <c r="X230" s="500" t="s">
        <v>45</v>
      </c>
      <c r="Z230" s="106" t="s">
        <v>1536</v>
      </c>
      <c r="AA230" s="47" t="s">
        <v>43</v>
      </c>
      <c r="AB230" s="43" t="s">
        <v>43</v>
      </c>
      <c r="AC230">
        <f t="shared" si="48"/>
        <v>23</v>
      </c>
    </row>
    <row r="231" spans="2:31" x14ac:dyDescent="0.35">
      <c r="B231">
        <f t="shared" si="47"/>
        <v>24</v>
      </c>
      <c r="C231" s="23" t="str">
        <f t="shared" si="46"/>
        <v>Claude Sonnet 3.7</v>
      </c>
      <c r="D231" s="15" t="s">
        <v>2380</v>
      </c>
      <c r="E231" s="15" t="s">
        <v>1539</v>
      </c>
      <c r="F231" s="15" t="s">
        <v>1539</v>
      </c>
      <c r="G231" s="14" t="s">
        <v>1539</v>
      </c>
      <c r="H231" s="449" t="s">
        <v>2382</v>
      </c>
      <c r="I231" s="29" t="s">
        <v>2381</v>
      </c>
      <c r="J231" s="98" t="s">
        <v>2445</v>
      </c>
      <c r="K231" s="47" t="s">
        <v>135</v>
      </c>
      <c r="L231" s="101" t="s">
        <v>292</v>
      </c>
      <c r="M231" t="s">
        <v>135</v>
      </c>
      <c r="N231" s="97" t="s">
        <v>135</v>
      </c>
      <c r="O231" s="29" t="s">
        <v>135</v>
      </c>
      <c r="P231" s="97" t="s">
        <v>135</v>
      </c>
      <c r="Q231" s="29" t="s">
        <v>135</v>
      </c>
      <c r="R231" s="29" t="s">
        <v>1896</v>
      </c>
      <c r="S231" s="29" t="s">
        <v>860</v>
      </c>
      <c r="T231" s="14" t="s">
        <v>2380</v>
      </c>
      <c r="U231" s="47" t="s">
        <v>2445</v>
      </c>
      <c r="V231" s="97"/>
      <c r="W231" s="15" t="s">
        <v>1756</v>
      </c>
      <c r="X231" s="500" t="s">
        <v>45</v>
      </c>
      <c r="Z231" s="106" t="s">
        <v>1536</v>
      </c>
      <c r="AA231" s="47" t="s">
        <v>43</v>
      </c>
      <c r="AB231" s="43" t="s">
        <v>43</v>
      </c>
      <c r="AC231">
        <f t="shared" si="48"/>
        <v>24</v>
      </c>
    </row>
    <row r="232" spans="2:31" x14ac:dyDescent="0.35">
      <c r="B232">
        <f t="shared" si="47"/>
        <v>25</v>
      </c>
      <c r="C232" s="23" t="str">
        <f t="shared" si="46"/>
        <v xml:space="preserve">Bard/LaMDA by Google </v>
      </c>
      <c r="D232" s="15" t="s">
        <v>240</v>
      </c>
      <c r="E232" s="15" t="s">
        <v>240</v>
      </c>
      <c r="F232" s="15" t="s">
        <v>200</v>
      </c>
      <c r="G232" s="15" t="s">
        <v>200</v>
      </c>
      <c r="H232" s="449" t="s">
        <v>45</v>
      </c>
      <c r="I232" s="15"/>
      <c r="J232" s="98" t="s">
        <v>241</v>
      </c>
      <c r="K232" s="47" t="s">
        <v>135</v>
      </c>
      <c r="L232" s="98"/>
      <c r="M232" t="s">
        <v>135</v>
      </c>
      <c r="N232" s="101" t="s">
        <v>45</v>
      </c>
      <c r="O232" s="47" t="s">
        <v>45</v>
      </c>
      <c r="P232" s="97" t="s">
        <v>135</v>
      </c>
      <c r="Q232" s="29" t="s">
        <v>135</v>
      </c>
      <c r="R232" s="29"/>
      <c r="S232" s="29"/>
      <c r="T232" s="47" t="s">
        <v>45</v>
      </c>
      <c r="U232" s="15" t="s">
        <v>241</v>
      </c>
      <c r="V232" s="97" t="s">
        <v>135</v>
      </c>
      <c r="W232" s="15" t="s">
        <v>1086</v>
      </c>
      <c r="X232" s="500" t="s">
        <v>45</v>
      </c>
      <c r="Y232" s="57" t="s">
        <v>241</v>
      </c>
      <c r="Z232" s="433" t="s">
        <v>45</v>
      </c>
      <c r="AA232" s="47" t="s">
        <v>45</v>
      </c>
      <c r="AB232" s="43"/>
      <c r="AC232">
        <f t="shared" si="48"/>
        <v>25</v>
      </c>
    </row>
    <row r="233" spans="2:31" x14ac:dyDescent="0.35">
      <c r="B233">
        <f t="shared" si="47"/>
        <v>26</v>
      </c>
      <c r="C233" s="23" t="str">
        <f t="shared" si="46"/>
        <v>PaLM 540B by Google</v>
      </c>
      <c r="D233" s="15" t="s">
        <v>613</v>
      </c>
      <c r="E233" s="15" t="s">
        <v>613</v>
      </c>
      <c r="F233" s="15" t="s">
        <v>613</v>
      </c>
      <c r="G233" s="15" t="s">
        <v>45</v>
      </c>
      <c r="H233" s="449" t="s">
        <v>45</v>
      </c>
      <c r="I233" s="15" t="s">
        <v>1335</v>
      </c>
      <c r="J233" s="98" t="s">
        <v>613</v>
      </c>
      <c r="K233" s="29" t="s">
        <v>135</v>
      </c>
      <c r="L233" s="97" t="s">
        <v>135</v>
      </c>
      <c r="M233" t="s">
        <v>135</v>
      </c>
      <c r="N233" s="101" t="s">
        <v>45</v>
      </c>
      <c r="O233" t="s">
        <v>45</v>
      </c>
      <c r="P233" s="101" t="s">
        <v>45</v>
      </c>
      <c r="Q233" s="29" t="s">
        <v>135</v>
      </c>
      <c r="R233" s="29" t="s">
        <v>1335</v>
      </c>
      <c r="S233" s="29"/>
      <c r="T233" t="s">
        <v>45</v>
      </c>
      <c r="U233" s="15" t="s">
        <v>613</v>
      </c>
      <c r="V233" s="97" t="s">
        <v>135</v>
      </c>
      <c r="W233" t="s">
        <v>615</v>
      </c>
      <c r="X233" s="500" t="s">
        <v>45</v>
      </c>
      <c r="Y233" s="57"/>
      <c r="Z233" s="501" t="s">
        <v>1349</v>
      </c>
      <c r="AA233" s="15" t="s">
        <v>1335</v>
      </c>
      <c r="AB233" s="43" t="s">
        <v>43</v>
      </c>
      <c r="AC233">
        <f t="shared" si="48"/>
        <v>26</v>
      </c>
    </row>
    <row r="234" spans="2:31" x14ac:dyDescent="0.35">
      <c r="B234">
        <f t="shared" si="47"/>
        <v>27</v>
      </c>
      <c r="C234" s="23" t="str">
        <f t="shared" si="46"/>
        <v>Gemini 1.5 Pro by Google not quite as good as GPT-4o see https://www.anthropic.com/news/claude-3-5-sonnet</v>
      </c>
      <c r="D234" s="15" t="s">
        <v>815</v>
      </c>
      <c r="E234" s="15" t="s">
        <v>815</v>
      </c>
      <c r="F234" s="15" t="s">
        <v>816</v>
      </c>
      <c r="G234" s="15" t="s">
        <v>816</v>
      </c>
      <c r="H234" s="449" t="s">
        <v>1794</v>
      </c>
      <c r="I234" s="47" t="s">
        <v>3085</v>
      </c>
      <c r="J234" s="98" t="s">
        <v>817</v>
      </c>
      <c r="K234" s="29" t="s">
        <v>135</v>
      </c>
      <c r="L234" s="101" t="s">
        <v>292</v>
      </c>
      <c r="M234" t="s">
        <v>135</v>
      </c>
      <c r="N234" s="97" t="s">
        <v>45</v>
      </c>
      <c r="O234" s="47" t="s">
        <v>45</v>
      </c>
      <c r="P234" s="97" t="s">
        <v>45</v>
      </c>
      <c r="Q234" s="29" t="s">
        <v>135</v>
      </c>
      <c r="R234" s="28" t="s">
        <v>1151</v>
      </c>
      <c r="S234" s="29" t="s">
        <v>860</v>
      </c>
      <c r="T234" s="14" t="s">
        <v>2051</v>
      </c>
      <c r="U234" s="15" t="s">
        <v>818</v>
      </c>
      <c r="V234" s="97" t="s">
        <v>135</v>
      </c>
      <c r="W234" s="15" t="s">
        <v>1549</v>
      </c>
      <c r="X234" s="140" t="s">
        <v>815</v>
      </c>
      <c r="Y234" s="452" t="s">
        <v>45</v>
      </c>
      <c r="Z234" s="502" t="s">
        <v>1898</v>
      </c>
      <c r="AA234" s="47" t="s">
        <v>45</v>
      </c>
      <c r="AB234" s="43" t="s">
        <v>1897</v>
      </c>
      <c r="AC234">
        <f t="shared" si="48"/>
        <v>27</v>
      </c>
    </row>
    <row r="235" spans="2:31" x14ac:dyDescent="0.35">
      <c r="B235">
        <f t="shared" si="47"/>
        <v>28</v>
      </c>
      <c r="C235" s="23" t="str">
        <f t="shared" si="46"/>
        <v>Gemini 2.5 Pro by Google, reasoning model better than OpenAI o3 mini</v>
      </c>
      <c r="D235" s="15" t="s">
        <v>3082</v>
      </c>
      <c r="E235" s="15" t="s">
        <v>3082</v>
      </c>
      <c r="F235" s="15" t="s">
        <v>3082</v>
      </c>
      <c r="G235" s="15" t="s">
        <v>45</v>
      </c>
      <c r="H235" s="449"/>
      <c r="I235" s="47" t="s">
        <v>3085</v>
      </c>
      <c r="J235" s="98" t="s">
        <v>2445</v>
      </c>
      <c r="K235" s="29" t="s">
        <v>135</v>
      </c>
      <c r="L235" s="101" t="s">
        <v>292</v>
      </c>
      <c r="N235" s="97"/>
      <c r="O235" s="47"/>
      <c r="P235" s="97"/>
      <c r="Q235" s="29"/>
      <c r="R235" s="28"/>
      <c r="S235" s="29"/>
      <c r="T235" s="14" t="s">
        <v>3082</v>
      </c>
      <c r="U235" s="15" t="s">
        <v>2445</v>
      </c>
      <c r="V235" s="97" t="s">
        <v>135</v>
      </c>
      <c r="W235" s="15"/>
      <c r="X235" s="140"/>
      <c r="Y235" s="452"/>
      <c r="Z235" s="502"/>
      <c r="AA235" s="47"/>
      <c r="AB235" s="43"/>
      <c r="AC235">
        <f t="shared" si="48"/>
        <v>28</v>
      </c>
    </row>
    <row r="236" spans="2:31" x14ac:dyDescent="0.35">
      <c r="B236">
        <f t="shared" si="47"/>
        <v>29</v>
      </c>
      <c r="C236" s="23" t="str">
        <f t="shared" si="46"/>
        <v>Llama 1 65B by  Meta</v>
      </c>
      <c r="D236" s="14" t="s">
        <v>422</v>
      </c>
      <c r="E236" s="14" t="s">
        <v>348</v>
      </c>
      <c r="F236" s="14" t="s">
        <v>348</v>
      </c>
      <c r="G236" s="14" t="s">
        <v>348</v>
      </c>
      <c r="H236" s="449" t="s">
        <v>45</v>
      </c>
      <c r="I236" s="14"/>
      <c r="J236" s="140" t="s">
        <v>348</v>
      </c>
      <c r="K236" s="47" t="s">
        <v>45</v>
      </c>
      <c r="L236" s="101"/>
      <c r="M236" t="s">
        <v>135</v>
      </c>
      <c r="N236" s="97" t="s">
        <v>423</v>
      </c>
      <c r="O236" s="47" t="s">
        <v>423</v>
      </c>
      <c r="P236" s="97" t="s">
        <v>135</v>
      </c>
      <c r="Q236" s="29" t="s">
        <v>135</v>
      </c>
      <c r="R236" s="29" t="s">
        <v>1151</v>
      </c>
      <c r="S236" s="29" t="s">
        <v>860</v>
      </c>
      <c r="T236" s="131" t="s">
        <v>422</v>
      </c>
      <c r="U236" s="14" t="s">
        <v>348</v>
      </c>
      <c r="V236" s="140" t="s">
        <v>401</v>
      </c>
      <c r="W236" s="15" t="s">
        <v>1086</v>
      </c>
      <c r="X236" s="500" t="s">
        <v>45</v>
      </c>
      <c r="Y236" s="198" t="s">
        <v>45</v>
      </c>
      <c r="Z236" s="503" t="s">
        <v>1350</v>
      </c>
      <c r="AA236" t="s">
        <v>1866</v>
      </c>
      <c r="AB236" s="43"/>
      <c r="AC236">
        <f t="shared" si="48"/>
        <v>29</v>
      </c>
    </row>
    <row r="237" spans="2:31" x14ac:dyDescent="0.35">
      <c r="B237">
        <f t="shared" si="47"/>
        <v>30</v>
      </c>
      <c r="C237" s="23" t="str">
        <f t="shared" si="46"/>
        <v>Llama 2 70B by Meta</v>
      </c>
      <c r="D237" s="15" t="s">
        <v>206</v>
      </c>
      <c r="E237" s="15" t="s">
        <v>206</v>
      </c>
      <c r="F237" s="15" t="s">
        <v>210</v>
      </c>
      <c r="G237" s="15" t="s">
        <v>206</v>
      </c>
      <c r="H237" s="449" t="s">
        <v>45</v>
      </c>
      <c r="I237" s="15"/>
      <c r="J237" s="98" t="s">
        <v>206</v>
      </c>
      <c r="K237" s="47" t="s">
        <v>135</v>
      </c>
      <c r="L237" s="97"/>
      <c r="M237" t="s">
        <v>135</v>
      </c>
      <c r="N237" s="97" t="s">
        <v>423</v>
      </c>
      <c r="O237" s="47" t="s">
        <v>423</v>
      </c>
      <c r="P237" s="97" t="s">
        <v>135</v>
      </c>
      <c r="Q237" s="29" t="s">
        <v>135</v>
      </c>
      <c r="R237" s="29" t="s">
        <v>1151</v>
      </c>
      <c r="S237" s="29" t="s">
        <v>860</v>
      </c>
      <c r="T237" s="131" t="s">
        <v>422</v>
      </c>
      <c r="U237" s="15" t="s">
        <v>422</v>
      </c>
      <c r="V237" s="97" t="s">
        <v>135</v>
      </c>
      <c r="W237" s="15" t="s">
        <v>1086</v>
      </c>
      <c r="X237" s="101" t="s">
        <v>983</v>
      </c>
      <c r="Y237" t="s">
        <v>45</v>
      </c>
      <c r="Z237" s="501" t="s">
        <v>1350</v>
      </c>
      <c r="AA237" t="s">
        <v>1867</v>
      </c>
      <c r="AB237" s="110"/>
      <c r="AC237">
        <f t="shared" si="48"/>
        <v>30</v>
      </c>
      <c r="AE237" s="14" t="s">
        <v>1155</v>
      </c>
    </row>
    <row r="238" spans="2:31" x14ac:dyDescent="0.35">
      <c r="B238">
        <f t="shared" si="47"/>
        <v>31</v>
      </c>
      <c r="C238" s="23" t="str">
        <f t="shared" si="46"/>
        <v>Llama 3.1, 405B by Meta</v>
      </c>
      <c r="D238" s="15" t="s">
        <v>983</v>
      </c>
      <c r="E238" s="15" t="s">
        <v>764</v>
      </c>
      <c r="F238" s="15" t="s">
        <v>765</v>
      </c>
      <c r="G238" s="15" t="s">
        <v>766</v>
      </c>
      <c r="H238" s="449" t="s">
        <v>45</v>
      </c>
      <c r="I238" s="15"/>
      <c r="J238" s="98" t="s">
        <v>767</v>
      </c>
      <c r="K238" s="47" t="s">
        <v>135</v>
      </c>
      <c r="L238" s="101" t="s">
        <v>292</v>
      </c>
      <c r="M238" t="s">
        <v>135</v>
      </c>
      <c r="N238" s="97"/>
      <c r="O238" s="47"/>
      <c r="P238" s="97"/>
      <c r="Q238" s="29" t="s">
        <v>135</v>
      </c>
      <c r="R238" s="28" t="s">
        <v>1151</v>
      </c>
      <c r="S238" s="29" t="s">
        <v>860</v>
      </c>
      <c r="T238" t="s">
        <v>983</v>
      </c>
      <c r="U238" s="15" t="s">
        <v>763</v>
      </c>
      <c r="V238" s="97" t="s">
        <v>135</v>
      </c>
      <c r="W238" s="15" t="s">
        <v>1086</v>
      </c>
      <c r="X238" s="101" t="s">
        <v>1851</v>
      </c>
      <c r="Y238" t="s">
        <v>45</v>
      </c>
      <c r="Z238" s="501" t="s">
        <v>1350</v>
      </c>
      <c r="AA238" s="554" t="s">
        <v>43</v>
      </c>
      <c r="AB238" s="43"/>
      <c r="AC238">
        <f t="shared" si="48"/>
        <v>31</v>
      </c>
    </row>
    <row r="239" spans="2:31" x14ac:dyDescent="0.35">
      <c r="B239">
        <f t="shared" si="47"/>
        <v>32</v>
      </c>
      <c r="C239" s="23" t="str">
        <f t="shared" si="46"/>
        <v>Llama 3.1, 8B by Meta</v>
      </c>
      <c r="D239" s="15" t="s">
        <v>983</v>
      </c>
      <c r="E239" s="15" t="s">
        <v>983</v>
      </c>
      <c r="F239" s="15" t="s">
        <v>983</v>
      </c>
      <c r="G239" s="15" t="s">
        <v>983</v>
      </c>
      <c r="H239" s="449" t="s">
        <v>45</v>
      </c>
      <c r="I239" s="15"/>
      <c r="J239" s="98" t="s">
        <v>983</v>
      </c>
      <c r="K239" s="47" t="s">
        <v>135</v>
      </c>
      <c r="L239" s="101" t="s">
        <v>292</v>
      </c>
      <c r="M239" t="s">
        <v>135</v>
      </c>
      <c r="N239" s="97"/>
      <c r="O239" s="47"/>
      <c r="P239" s="97"/>
      <c r="Q239" s="29" t="s">
        <v>135</v>
      </c>
      <c r="R239" s="29"/>
      <c r="S239" s="29" t="s">
        <v>860</v>
      </c>
      <c r="T239" t="s">
        <v>983</v>
      </c>
      <c r="U239" t="s">
        <v>983</v>
      </c>
      <c r="V239" s="97" t="s">
        <v>135</v>
      </c>
      <c r="W239" s="15" t="s">
        <v>1086</v>
      </c>
      <c r="X239" s="101" t="s">
        <v>983</v>
      </c>
      <c r="Y239" t="s">
        <v>45</v>
      </c>
      <c r="Z239" s="101" t="s">
        <v>45</v>
      </c>
      <c r="AA239" s="554"/>
      <c r="AB239" s="43"/>
      <c r="AC239">
        <f t="shared" si="48"/>
        <v>32</v>
      </c>
    </row>
    <row r="240" spans="2:31" x14ac:dyDescent="0.35">
      <c r="B240">
        <f t="shared" si="47"/>
        <v>33</v>
      </c>
      <c r="C240" s="23" t="str">
        <f t="shared" si="46"/>
        <v>Llama 3.3 70B Instruct 128k, almost as good as GPT-4o mini</v>
      </c>
      <c r="D240" s="15" t="s">
        <v>1790</v>
      </c>
      <c r="E240" s="15" t="s">
        <v>1790</v>
      </c>
      <c r="F240" s="15" t="s">
        <v>1790</v>
      </c>
      <c r="G240" s="15" t="s">
        <v>1790</v>
      </c>
      <c r="H240" s="449" t="s">
        <v>1786</v>
      </c>
      <c r="I240" s="29" t="s">
        <v>1841</v>
      </c>
      <c r="J240" s="98" t="s">
        <v>1790</v>
      </c>
      <c r="K240" s="47" t="s">
        <v>135</v>
      </c>
      <c r="L240" s="101" t="s">
        <v>292</v>
      </c>
      <c r="M240" t="s">
        <v>135</v>
      </c>
      <c r="N240" s="97" t="s">
        <v>135</v>
      </c>
      <c r="O240" s="29" t="s">
        <v>135</v>
      </c>
      <c r="P240" s="97" t="s">
        <v>135</v>
      </c>
      <c r="Q240" s="29" t="s">
        <v>135</v>
      </c>
      <c r="R240" s="646" t="s">
        <v>1948</v>
      </c>
      <c r="S240" s="29" t="s">
        <v>860</v>
      </c>
      <c r="T240" t="s">
        <v>1789</v>
      </c>
      <c r="U240" t="s">
        <v>1790</v>
      </c>
      <c r="V240" s="97" t="s">
        <v>135</v>
      </c>
      <c r="W240" s="15" t="s">
        <v>1756</v>
      </c>
      <c r="X240" s="101" t="s">
        <v>1841</v>
      </c>
      <c r="Y240" t="s">
        <v>45</v>
      </c>
      <c r="Z240" s="101" t="s">
        <v>1841</v>
      </c>
      <c r="AA240" s="554"/>
      <c r="AB240" s="43"/>
      <c r="AC240">
        <f t="shared" si="48"/>
        <v>33</v>
      </c>
    </row>
    <row r="241" spans="2:31" x14ac:dyDescent="0.35">
      <c r="B241">
        <f t="shared" si="47"/>
        <v>34</v>
      </c>
      <c r="C241" s="23" t="str">
        <f t="shared" ref="C241:C243" si="49">C42</f>
        <v>Llama 4 Behemoth 2T better than GPT-4.5</v>
      </c>
      <c r="D241" s="15" t="s">
        <v>3154</v>
      </c>
      <c r="E241" s="15" t="s">
        <v>3154</v>
      </c>
      <c r="F241" s="15" t="s">
        <v>3154</v>
      </c>
      <c r="G241" s="15" t="s">
        <v>45</v>
      </c>
      <c r="H241" s="449"/>
      <c r="I241" s="29" t="s">
        <v>3164</v>
      </c>
      <c r="J241" s="15" t="s">
        <v>3154</v>
      </c>
      <c r="K241" s="47" t="s">
        <v>135</v>
      </c>
      <c r="L241" s="101" t="s">
        <v>292</v>
      </c>
      <c r="M241" t="s">
        <v>135</v>
      </c>
      <c r="N241" s="97" t="s">
        <v>135</v>
      </c>
      <c r="O241" s="29" t="s">
        <v>135</v>
      </c>
      <c r="P241" s="97" t="s">
        <v>135</v>
      </c>
      <c r="Q241" s="29" t="s">
        <v>135</v>
      </c>
      <c r="R241" s="646" t="s">
        <v>1948</v>
      </c>
      <c r="S241" s="29" t="s">
        <v>860</v>
      </c>
      <c r="T241" s="15" t="s">
        <v>3154</v>
      </c>
      <c r="V241" s="97"/>
      <c r="W241" s="15"/>
      <c r="X241" s="101" t="s">
        <v>3154</v>
      </c>
      <c r="Y241" t="s">
        <v>45</v>
      </c>
      <c r="Z241" s="101"/>
      <c r="AA241" s="554"/>
      <c r="AB241" s="43"/>
      <c r="AC241">
        <f t="shared" si="48"/>
        <v>34</v>
      </c>
    </row>
    <row r="242" spans="2:31" x14ac:dyDescent="0.35">
      <c r="B242">
        <f t="shared" si="47"/>
        <v>35</v>
      </c>
      <c r="C242" s="23" t="str">
        <f t="shared" si="49"/>
        <v>Llama 4 Maverick 400B better than 4o</v>
      </c>
      <c r="D242" s="15" t="s">
        <v>3154</v>
      </c>
      <c r="E242" s="15" t="s">
        <v>3154</v>
      </c>
      <c r="F242" s="15" t="s">
        <v>3154</v>
      </c>
      <c r="G242" s="15" t="s">
        <v>45</v>
      </c>
      <c r="H242" s="449" t="s">
        <v>3154</v>
      </c>
      <c r="I242" s="29" t="s">
        <v>3164</v>
      </c>
      <c r="J242" s="15" t="s">
        <v>3154</v>
      </c>
      <c r="K242" s="47" t="s">
        <v>135</v>
      </c>
      <c r="L242" s="101" t="s">
        <v>292</v>
      </c>
      <c r="M242" t="s">
        <v>135</v>
      </c>
      <c r="N242" s="97" t="s">
        <v>135</v>
      </c>
      <c r="O242" s="29" t="s">
        <v>135</v>
      </c>
      <c r="P242" s="97" t="s">
        <v>135</v>
      </c>
      <c r="Q242" s="29" t="s">
        <v>135</v>
      </c>
      <c r="R242" s="646" t="s">
        <v>1948</v>
      </c>
      <c r="S242" s="29" t="s">
        <v>860</v>
      </c>
      <c r="T242" s="15" t="s">
        <v>3154</v>
      </c>
      <c r="V242" s="97"/>
      <c r="W242" s="15"/>
      <c r="X242" s="101" t="s">
        <v>3154</v>
      </c>
      <c r="Y242" t="s">
        <v>45</v>
      </c>
      <c r="Z242" s="101"/>
      <c r="AA242" s="554"/>
      <c r="AB242" s="43"/>
      <c r="AC242">
        <f t="shared" si="48"/>
        <v>35</v>
      </c>
    </row>
    <row r="243" spans="2:31" x14ac:dyDescent="0.35">
      <c r="B243">
        <f t="shared" si="47"/>
        <v>36</v>
      </c>
      <c r="C243" s="23" t="str">
        <f t="shared" si="49"/>
        <v>Llama 4 Scout 109B</v>
      </c>
      <c r="D243" s="15" t="s">
        <v>3154</v>
      </c>
      <c r="E243" s="15" t="s">
        <v>3154</v>
      </c>
      <c r="F243" s="15" t="s">
        <v>3154</v>
      </c>
      <c r="G243" s="15" t="s">
        <v>45</v>
      </c>
      <c r="H243" s="449"/>
      <c r="I243" s="29" t="s">
        <v>3164</v>
      </c>
      <c r="J243" s="15" t="s">
        <v>3154</v>
      </c>
      <c r="K243" s="47" t="s">
        <v>135</v>
      </c>
      <c r="L243" s="101" t="s">
        <v>292</v>
      </c>
      <c r="M243" t="s">
        <v>135</v>
      </c>
      <c r="N243" s="97" t="s">
        <v>135</v>
      </c>
      <c r="O243" s="29" t="s">
        <v>135</v>
      </c>
      <c r="P243" s="97" t="s">
        <v>135</v>
      </c>
      <c r="Q243" s="29" t="s">
        <v>135</v>
      </c>
      <c r="R243" s="646" t="s">
        <v>1948</v>
      </c>
      <c r="S243" s="29" t="s">
        <v>860</v>
      </c>
      <c r="T243" s="15" t="s">
        <v>3154</v>
      </c>
      <c r="V243" s="97"/>
      <c r="W243" s="15"/>
      <c r="X243" s="101" t="s">
        <v>3154</v>
      </c>
      <c r="Y243" t="s">
        <v>45</v>
      </c>
      <c r="Z243" s="101"/>
      <c r="AA243" s="554"/>
      <c r="AB243" s="43"/>
      <c r="AC243">
        <f t="shared" si="48"/>
        <v>36</v>
      </c>
    </row>
    <row r="244" spans="2:31" x14ac:dyDescent="0.35">
      <c r="B244">
        <f t="shared" si="47"/>
        <v>37</v>
      </c>
      <c r="C244" s="23" t="str">
        <f t="shared" ref="C244:C275" si="50">C45</f>
        <v>Ask or pplx-70b by Perplexity AI</v>
      </c>
      <c r="D244" s="15" t="s">
        <v>207</v>
      </c>
      <c r="E244" s="15" t="s">
        <v>1057</v>
      </c>
      <c r="F244" s="15" t="s">
        <v>208</v>
      </c>
      <c r="G244" s="15" t="s">
        <v>208</v>
      </c>
      <c r="H244" s="449" t="s">
        <v>45</v>
      </c>
      <c r="I244" s="15"/>
      <c r="J244" s="98" t="s">
        <v>207</v>
      </c>
      <c r="K244" s="47"/>
      <c r="L244" s="101" t="s">
        <v>292</v>
      </c>
      <c r="M244" t="s">
        <v>135</v>
      </c>
      <c r="N244" s="101" t="s">
        <v>45</v>
      </c>
      <c r="O244" s="47" t="s">
        <v>45</v>
      </c>
      <c r="P244" s="97" t="s">
        <v>135</v>
      </c>
      <c r="Q244" s="29" t="s">
        <v>135</v>
      </c>
      <c r="R244" s="29"/>
      <c r="S244" s="29" t="s">
        <v>860</v>
      </c>
      <c r="T244" s="47" t="s">
        <v>45</v>
      </c>
      <c r="U244" s="47" t="s">
        <v>45</v>
      </c>
      <c r="V244" s="97" t="s">
        <v>45</v>
      </c>
      <c r="W244" s="15" t="s">
        <v>1086</v>
      </c>
      <c r="X244" s="101" t="s">
        <v>45</v>
      </c>
      <c r="Y244" t="s">
        <v>45</v>
      </c>
      <c r="Z244" s="101" t="s">
        <v>45</v>
      </c>
      <c r="AA244" s="47" t="s">
        <v>45</v>
      </c>
      <c r="AB244" s="43"/>
      <c r="AC244">
        <f t="shared" si="48"/>
        <v>37</v>
      </c>
    </row>
    <row r="245" spans="2:31" x14ac:dyDescent="0.35">
      <c r="B245">
        <f t="shared" si="47"/>
        <v>38</v>
      </c>
      <c r="C245" s="23" t="str">
        <f t="shared" si="50"/>
        <v>Sonar-reasoning by Perplexity (based on DeepSeek R1 combined with Perplexity search and user interphase)</v>
      </c>
      <c r="D245" s="47" t="s">
        <v>1847</v>
      </c>
      <c r="E245" t="s">
        <v>208</v>
      </c>
      <c r="F245" t="s">
        <v>208</v>
      </c>
      <c r="G245" t="s">
        <v>208</v>
      </c>
      <c r="H245" s="201" t="s">
        <v>1846</v>
      </c>
      <c r="I245" s="29" t="s">
        <v>1570</v>
      </c>
      <c r="J245" s="97" t="s">
        <v>1848</v>
      </c>
      <c r="K245" t="s">
        <v>1849</v>
      </c>
      <c r="L245" s="101" t="s">
        <v>292</v>
      </c>
      <c r="M245" s="199"/>
      <c r="N245" s="553"/>
      <c r="O245" s="47"/>
      <c r="P245" s="97"/>
      <c r="Q245" s="29"/>
      <c r="R245" s="29"/>
      <c r="S245" s="29"/>
      <c r="T245" s="47"/>
      <c r="U245" s="47"/>
      <c r="V245" s="97"/>
      <c r="W245" s="47"/>
      <c r="X245" s="553"/>
      <c r="Y245" s="199"/>
      <c r="Z245" s="553"/>
      <c r="AA245" s="47"/>
      <c r="AB245" s="43"/>
      <c r="AC245">
        <f t="shared" si="48"/>
        <v>38</v>
      </c>
    </row>
    <row r="246" spans="2:31" x14ac:dyDescent="0.35">
      <c r="B246">
        <f t="shared" si="47"/>
        <v>39</v>
      </c>
      <c r="C246" s="23" t="str">
        <f t="shared" si="50"/>
        <v>Mixtral 8x22B by Mistral AI</v>
      </c>
      <c r="D246" s="47" t="s">
        <v>2140</v>
      </c>
      <c r="H246" s="201"/>
      <c r="I246" s="29"/>
      <c r="J246" s="97" t="s">
        <v>2140</v>
      </c>
      <c r="K246" s="47" t="s">
        <v>2142</v>
      </c>
      <c r="L246" s="101" t="s">
        <v>292</v>
      </c>
      <c r="M246" s="199"/>
      <c r="N246" s="553"/>
      <c r="O246" s="47"/>
      <c r="P246" s="97"/>
      <c r="Q246" s="29"/>
      <c r="R246" s="29"/>
      <c r="S246" s="29"/>
      <c r="T246" s="47" t="s">
        <v>2142</v>
      </c>
      <c r="U246" s="47" t="s">
        <v>45</v>
      </c>
      <c r="V246" s="97"/>
      <c r="W246" s="47"/>
      <c r="X246" s="553" t="s">
        <v>2142</v>
      </c>
      <c r="Y246" s="199" t="s">
        <v>45</v>
      </c>
      <c r="Z246" s="553"/>
      <c r="AA246" s="47"/>
      <c r="AB246" s="43"/>
      <c r="AC246">
        <f t="shared" si="48"/>
        <v>39</v>
      </c>
    </row>
    <row r="247" spans="2:31" x14ac:dyDescent="0.35">
      <c r="B247">
        <f t="shared" si="47"/>
        <v>40</v>
      </c>
      <c r="C247" s="23" t="str">
        <f t="shared" si="50"/>
        <v>Mercury coder small by Inception</v>
      </c>
      <c r="D247" s="47" t="s">
        <v>2462</v>
      </c>
      <c r="E247" t="s">
        <v>2463</v>
      </c>
      <c r="F247" t="s">
        <v>2463</v>
      </c>
      <c r="G247" t="s">
        <v>2463</v>
      </c>
      <c r="H247" t="s">
        <v>2463</v>
      </c>
      <c r="I247" s="29" t="s">
        <v>1570</v>
      </c>
      <c r="J247" s="97" t="s">
        <v>2459</v>
      </c>
      <c r="K247" s="47" t="s">
        <v>135</v>
      </c>
      <c r="L247" s="101" t="s">
        <v>292</v>
      </c>
      <c r="M247" t="s">
        <v>135</v>
      </c>
      <c r="N247" s="97" t="s">
        <v>135</v>
      </c>
      <c r="O247" s="29" t="s">
        <v>135</v>
      </c>
      <c r="P247" s="97" t="s">
        <v>135</v>
      </c>
      <c r="Q247" s="29" t="s">
        <v>135</v>
      </c>
      <c r="R247" s="29"/>
      <c r="S247" s="29"/>
      <c r="T247" s="47"/>
      <c r="U247" s="47" t="s">
        <v>2459</v>
      </c>
      <c r="V247" s="97"/>
      <c r="W247" s="47"/>
      <c r="X247" s="553"/>
      <c r="Y247" s="199"/>
      <c r="Z247" s="553"/>
      <c r="AA247" s="47"/>
      <c r="AB247" s="43"/>
      <c r="AC247">
        <f t="shared" si="48"/>
        <v>40</v>
      </c>
    </row>
    <row r="248" spans="2:31" x14ac:dyDescent="0.35">
      <c r="B248">
        <f t="shared" si="47"/>
        <v>41</v>
      </c>
      <c r="C248" s="23" t="str">
        <f t="shared" si="50"/>
        <v>Grok 1 by xAI</v>
      </c>
      <c r="D248" s="15" t="s">
        <v>670</v>
      </c>
      <c r="E248" s="47" t="s">
        <v>45</v>
      </c>
      <c r="F248" s="15" t="s">
        <v>670</v>
      </c>
      <c r="G248" s="15" t="s">
        <v>670</v>
      </c>
      <c r="H248" s="449" t="s">
        <v>45</v>
      </c>
      <c r="I248" s="15" t="s">
        <v>1151</v>
      </c>
      <c r="J248" s="98" t="s">
        <v>747</v>
      </c>
      <c r="K248" s="47" t="s">
        <v>135</v>
      </c>
      <c r="L248" s="101" t="s">
        <v>292</v>
      </c>
      <c r="M248" t="s">
        <v>135</v>
      </c>
      <c r="N248" s="97" t="s">
        <v>135</v>
      </c>
      <c r="O248" s="29" t="s">
        <v>135</v>
      </c>
      <c r="P248" s="97" t="s">
        <v>135</v>
      </c>
      <c r="Q248" s="29" t="s">
        <v>135</v>
      </c>
      <c r="R248" s="29"/>
      <c r="S248" s="29" t="s">
        <v>860</v>
      </c>
      <c r="T248" s="47" t="s">
        <v>747</v>
      </c>
      <c r="U248" s="47" t="s">
        <v>2445</v>
      </c>
      <c r="V248" s="97" t="s">
        <v>135</v>
      </c>
      <c r="W248" s="15" t="s">
        <v>1086</v>
      </c>
      <c r="X248" s="101" t="s">
        <v>45</v>
      </c>
      <c r="Z248" s="101" t="s">
        <v>45</v>
      </c>
      <c r="AA248" s="47"/>
      <c r="AB248" s="43"/>
      <c r="AC248">
        <f t="shared" si="48"/>
        <v>41</v>
      </c>
    </row>
    <row r="249" spans="2:31" x14ac:dyDescent="0.35">
      <c r="B249">
        <f t="shared" si="47"/>
        <v>42</v>
      </c>
      <c r="C249" s="23" t="str">
        <f t="shared" si="50"/>
        <v>Grok 2 by xAI, LLM image generation, similar to GPT-4o</v>
      </c>
      <c r="D249" s="50" t="s">
        <v>1151</v>
      </c>
      <c r="E249" s="47"/>
      <c r="F249" s="15"/>
      <c r="G249" s="15"/>
      <c r="H249" s="15" t="s">
        <v>1777</v>
      </c>
      <c r="I249" s="15" t="s">
        <v>1151</v>
      </c>
      <c r="J249" s="98" t="s">
        <v>2445</v>
      </c>
      <c r="K249" s="47" t="s">
        <v>135</v>
      </c>
      <c r="L249" s="101" t="s">
        <v>292</v>
      </c>
      <c r="M249" t="s">
        <v>135</v>
      </c>
      <c r="N249" s="97" t="s">
        <v>135</v>
      </c>
      <c r="O249" s="29" t="s">
        <v>135</v>
      </c>
      <c r="P249" s="97" t="s">
        <v>135</v>
      </c>
      <c r="Q249" s="29" t="s">
        <v>135</v>
      </c>
      <c r="R249" s="28" t="s">
        <v>1151</v>
      </c>
      <c r="S249" s="29" t="s">
        <v>860</v>
      </c>
      <c r="T249" s="47"/>
      <c r="U249" s="47" t="s">
        <v>2445</v>
      </c>
      <c r="V249" s="97" t="s">
        <v>135</v>
      </c>
      <c r="W249" s="15" t="s">
        <v>1086</v>
      </c>
      <c r="X249" s="101" t="s">
        <v>45</v>
      </c>
      <c r="Z249" s="140" t="s">
        <v>1535</v>
      </c>
      <c r="AA249" t="s">
        <v>43</v>
      </c>
      <c r="AB249" s="43" t="s">
        <v>43</v>
      </c>
      <c r="AC249">
        <f t="shared" si="48"/>
        <v>42</v>
      </c>
    </row>
    <row r="250" spans="2:31" x14ac:dyDescent="0.35">
      <c r="B250">
        <f t="shared" si="47"/>
        <v>43</v>
      </c>
      <c r="C250" s="23" t="str">
        <f t="shared" si="50"/>
        <v>Grok 3 by xAI</v>
      </c>
      <c r="D250" s="15" t="s">
        <v>1151</v>
      </c>
      <c r="E250" s="47"/>
      <c r="F250" s="15"/>
      <c r="G250" s="15"/>
      <c r="H250" s="551" t="s">
        <v>45</v>
      </c>
      <c r="I250" s="15" t="s">
        <v>1151</v>
      </c>
      <c r="J250" s="98" t="s">
        <v>2445</v>
      </c>
      <c r="K250" s="47" t="s">
        <v>135</v>
      </c>
      <c r="L250" s="101" t="s">
        <v>292</v>
      </c>
      <c r="M250" t="s">
        <v>135</v>
      </c>
      <c r="N250" s="97" t="s">
        <v>135</v>
      </c>
      <c r="O250" s="29" t="s">
        <v>135</v>
      </c>
      <c r="P250" s="97" t="s">
        <v>135</v>
      </c>
      <c r="Q250" s="29" t="s">
        <v>135</v>
      </c>
      <c r="R250" s="646" t="s">
        <v>2216</v>
      </c>
      <c r="S250" s="29" t="s">
        <v>860</v>
      </c>
      <c r="T250" s="47"/>
      <c r="U250" s="47" t="s">
        <v>2445</v>
      </c>
      <c r="V250" s="97" t="s">
        <v>135</v>
      </c>
      <c r="W250" s="15" t="s">
        <v>1086</v>
      </c>
      <c r="X250" s="101" t="s">
        <v>45</v>
      </c>
      <c r="Z250" s="101" t="s">
        <v>43</v>
      </c>
      <c r="AA250" t="s">
        <v>43</v>
      </c>
      <c r="AB250" s="530" t="s">
        <v>1894</v>
      </c>
      <c r="AC250">
        <f t="shared" si="48"/>
        <v>43</v>
      </c>
    </row>
    <row r="251" spans="2:31" x14ac:dyDescent="0.35">
      <c r="B251">
        <f t="shared" si="47"/>
        <v>44</v>
      </c>
      <c r="C251" s="23" t="str">
        <f t="shared" si="50"/>
        <v>Deepseek v2 coder</v>
      </c>
      <c r="D251" s="15" t="s">
        <v>1751</v>
      </c>
      <c r="E251" s="47" t="s">
        <v>1759</v>
      </c>
      <c r="F251" s="15"/>
      <c r="G251" s="15"/>
      <c r="H251" s="551" t="s">
        <v>45</v>
      </c>
      <c r="I251" s="15"/>
      <c r="J251" s="98" t="s">
        <v>1751</v>
      </c>
      <c r="K251" s="47" t="s">
        <v>135</v>
      </c>
      <c r="L251" s="101" t="s">
        <v>292</v>
      </c>
      <c r="M251" t="s">
        <v>135</v>
      </c>
      <c r="N251" s="97" t="s">
        <v>135</v>
      </c>
      <c r="O251" s="29" t="s">
        <v>135</v>
      </c>
      <c r="P251" s="97" t="s">
        <v>135</v>
      </c>
      <c r="Q251" s="29" t="s">
        <v>135</v>
      </c>
      <c r="R251" s="29" t="s">
        <v>1809</v>
      </c>
      <c r="S251" s="29" t="s">
        <v>860</v>
      </c>
      <c r="T251" s="47" t="s">
        <v>1752</v>
      </c>
      <c r="U251" s="47" t="s">
        <v>1758</v>
      </c>
      <c r="V251" s="97" t="s">
        <v>135</v>
      </c>
      <c r="W251" s="15" t="s">
        <v>1756</v>
      </c>
      <c r="X251" s="101"/>
      <c r="Z251" s="101" t="s">
        <v>1751</v>
      </c>
      <c r="AA251" s="47" t="s">
        <v>43</v>
      </c>
      <c r="AB251" s="43" t="s">
        <v>43</v>
      </c>
      <c r="AC251">
        <f t="shared" si="48"/>
        <v>44</v>
      </c>
    </row>
    <row r="252" spans="2:31" x14ac:dyDescent="0.35">
      <c r="B252">
        <f t="shared" si="47"/>
        <v>45</v>
      </c>
      <c r="C252" s="23" t="str">
        <f t="shared" si="50"/>
        <v>DeepSeek v3 by DeepSeek China, mixture-of-experts, comparable to GPT-4o and Llama 3.1 405B</v>
      </c>
      <c r="D252" s="15" t="s">
        <v>1742</v>
      </c>
      <c r="E252" s="47"/>
      <c r="F252" s="15"/>
      <c r="G252" s="15"/>
      <c r="H252" s="551" t="s">
        <v>1783</v>
      </c>
      <c r="I252" s="15" t="s">
        <v>1749</v>
      </c>
      <c r="J252" s="98" t="s">
        <v>1672</v>
      </c>
      <c r="K252" t="s">
        <v>1849</v>
      </c>
      <c r="L252" s="101" t="s">
        <v>292</v>
      </c>
      <c r="M252" t="s">
        <v>135</v>
      </c>
      <c r="N252" s="97" t="s">
        <v>135</v>
      </c>
      <c r="O252" s="29" t="s">
        <v>135</v>
      </c>
      <c r="P252" s="97" t="s">
        <v>135</v>
      </c>
      <c r="Q252" s="29" t="s">
        <v>135</v>
      </c>
      <c r="R252" s="29" t="s">
        <v>1749</v>
      </c>
      <c r="S252" s="29" t="s">
        <v>860</v>
      </c>
      <c r="T252" s="15" t="s">
        <v>1672</v>
      </c>
      <c r="U252" s="15" t="s">
        <v>1755</v>
      </c>
      <c r="V252" s="97" t="s">
        <v>135</v>
      </c>
      <c r="W252" s="15" t="s">
        <v>1757</v>
      </c>
      <c r="X252" s="101" t="s">
        <v>1755</v>
      </c>
      <c r="Y252" t="s">
        <v>45</v>
      </c>
      <c r="Z252" s="101" t="s">
        <v>1753</v>
      </c>
      <c r="AA252" s="47" t="s">
        <v>1754</v>
      </c>
      <c r="AB252" s="43" t="s">
        <v>43</v>
      </c>
      <c r="AC252">
        <f t="shared" si="48"/>
        <v>45</v>
      </c>
    </row>
    <row r="253" spans="2:31" x14ac:dyDescent="0.35">
      <c r="B253">
        <f t="shared" si="47"/>
        <v>46</v>
      </c>
      <c r="C253" s="23" t="str">
        <f t="shared" si="50"/>
        <v xml:space="preserve">DeepSeek R1 by DeepSeek China, mixture-of-experts, reasoning system based on V3 perform as good as OpenAI o1. </v>
      </c>
      <c r="D253" s="15" t="s">
        <v>1672</v>
      </c>
      <c r="E253" s="47" t="s">
        <v>1672</v>
      </c>
      <c r="F253" s="15" t="s">
        <v>1672</v>
      </c>
      <c r="G253" s="15" t="s">
        <v>1760</v>
      </c>
      <c r="H253" s="551" t="s">
        <v>1782</v>
      </c>
      <c r="I253" s="15" t="s">
        <v>1749</v>
      </c>
      <c r="J253" s="98" t="s">
        <v>1672</v>
      </c>
      <c r="K253" s="14" t="s">
        <v>2128</v>
      </c>
      <c r="L253" s="101" t="s">
        <v>292</v>
      </c>
      <c r="M253" t="s">
        <v>135</v>
      </c>
      <c r="N253" s="97" t="s">
        <v>135</v>
      </c>
      <c r="O253" s="29" t="s">
        <v>135</v>
      </c>
      <c r="P253" s="97" t="s">
        <v>135</v>
      </c>
      <c r="Q253" s="29" t="s">
        <v>135</v>
      </c>
      <c r="R253" s="29" t="s">
        <v>1749</v>
      </c>
      <c r="S253" s="29" t="s">
        <v>860</v>
      </c>
      <c r="T253" s="47" t="s">
        <v>1672</v>
      </c>
      <c r="U253" s="47" t="s">
        <v>1675</v>
      </c>
      <c r="V253" s="97" t="s">
        <v>135</v>
      </c>
      <c r="W253" s="47" t="s">
        <v>1810</v>
      </c>
      <c r="X253" s="101" t="s">
        <v>45</v>
      </c>
      <c r="Y253" s="47" t="s">
        <v>45</v>
      </c>
      <c r="Z253" s="101" t="s">
        <v>1676</v>
      </c>
      <c r="AA253" s="47" t="s">
        <v>1747</v>
      </c>
      <c r="AB253" s="43" t="s">
        <v>43</v>
      </c>
      <c r="AC253">
        <f t="shared" si="48"/>
        <v>46</v>
      </c>
      <c r="AD253" t="s">
        <v>1748</v>
      </c>
      <c r="AE253" t="s">
        <v>45</v>
      </c>
    </row>
    <row r="254" spans="2:31" x14ac:dyDescent="0.35">
      <c r="B254">
        <f t="shared" si="47"/>
        <v>47</v>
      </c>
      <c r="C254" s="23" t="str">
        <f t="shared" si="50"/>
        <v xml:space="preserve">DeepSeek R1-destill-Llama-70B by DeepSeek China comparable to OpenAI's o1-mini </v>
      </c>
      <c r="D254" s="15" t="s">
        <v>1768</v>
      </c>
      <c r="E254" s="47" t="s">
        <v>1768</v>
      </c>
      <c r="F254" s="47" t="s">
        <v>1811</v>
      </c>
      <c r="G254" s="15" t="s">
        <v>1768</v>
      </c>
      <c r="H254" s="551" t="s">
        <v>1786</v>
      </c>
      <c r="I254" s="15" t="s">
        <v>1749</v>
      </c>
      <c r="J254" s="98" t="s">
        <v>1768</v>
      </c>
      <c r="K254" s="15" t="s">
        <v>1848</v>
      </c>
      <c r="L254" s="101" t="s">
        <v>292</v>
      </c>
      <c r="M254" t="s">
        <v>135</v>
      </c>
      <c r="N254" s="97" t="s">
        <v>135</v>
      </c>
      <c r="O254" s="29" t="s">
        <v>135</v>
      </c>
      <c r="P254" s="97" t="s">
        <v>135</v>
      </c>
      <c r="Q254" s="29" t="s">
        <v>135</v>
      </c>
      <c r="R254" s="29" t="s">
        <v>1749</v>
      </c>
      <c r="S254" s="29" t="s">
        <v>860</v>
      </c>
      <c r="T254" s="47" t="s">
        <v>1769</v>
      </c>
      <c r="U254" s="47"/>
      <c r="V254" s="97" t="s">
        <v>45</v>
      </c>
      <c r="W254" s="47"/>
      <c r="X254" s="101" t="s">
        <v>45</v>
      </c>
      <c r="Y254" s="47" t="s">
        <v>45</v>
      </c>
      <c r="Z254" s="101" t="s">
        <v>45</v>
      </c>
      <c r="AA254" s="47" t="s">
        <v>45</v>
      </c>
      <c r="AB254" s="43"/>
      <c r="AC254">
        <f t="shared" si="48"/>
        <v>47</v>
      </c>
    </row>
    <row r="255" spans="2:31" x14ac:dyDescent="0.35">
      <c r="B255">
        <f t="shared" si="47"/>
        <v>48</v>
      </c>
      <c r="C255" s="23" t="str">
        <f t="shared" si="50"/>
        <v>Qwen2.5 72B-Instruct by Alibaba China</v>
      </c>
      <c r="D255" s="15" t="s">
        <v>2396</v>
      </c>
      <c r="E255" s="47" t="s">
        <v>2402</v>
      </c>
      <c r="F255" s="47" t="s">
        <v>45</v>
      </c>
      <c r="G255" s="15"/>
      <c r="H255" s="551" t="s">
        <v>2401</v>
      </c>
      <c r="I255" s="47" t="s">
        <v>2406</v>
      </c>
      <c r="J255" s="98" t="s">
        <v>2402</v>
      </c>
      <c r="K255" s="47" t="s">
        <v>2404</v>
      </c>
      <c r="L255" s="101"/>
      <c r="N255" s="97"/>
      <c r="O255" s="29"/>
      <c r="P255" s="97"/>
      <c r="Q255" s="29"/>
      <c r="R255" s="29" t="s">
        <v>45</v>
      </c>
      <c r="S255" s="29"/>
      <c r="T255" s="47" t="s">
        <v>2403</v>
      </c>
      <c r="U255" s="47" t="s">
        <v>2405</v>
      </c>
      <c r="V255" s="97" t="s">
        <v>135</v>
      </c>
      <c r="W255" s="47"/>
      <c r="X255" s="101"/>
      <c r="Y255" s="47"/>
      <c r="Z255" s="101"/>
      <c r="AA255" s="47"/>
      <c r="AB255" s="43"/>
      <c r="AC255">
        <f t="shared" si="48"/>
        <v>48</v>
      </c>
    </row>
    <row r="256" spans="2:31" x14ac:dyDescent="0.35">
      <c r="B256">
        <f t="shared" si="47"/>
        <v>49</v>
      </c>
      <c r="C256" s="23" t="str">
        <f t="shared" si="50"/>
        <v>QwQ- 32B by Alibaba perform as good as DeepSeek R1</v>
      </c>
      <c r="D256" s="15" t="s">
        <v>2510</v>
      </c>
      <c r="E256" s="15" t="s">
        <v>2510</v>
      </c>
      <c r="F256" s="15" t="s">
        <v>2510</v>
      </c>
      <c r="G256" s="15" t="s">
        <v>2510</v>
      </c>
      <c r="H256" s="551"/>
      <c r="I256" s="47" t="s">
        <v>2406</v>
      </c>
      <c r="J256" s="98" t="s">
        <v>2511</v>
      </c>
      <c r="K256" s="47" t="s">
        <v>2404</v>
      </c>
      <c r="L256" s="101"/>
      <c r="N256" s="97"/>
      <c r="O256" s="29"/>
      <c r="P256" s="97"/>
      <c r="Q256" s="29"/>
      <c r="R256" s="29" t="s">
        <v>45</v>
      </c>
      <c r="S256" s="29"/>
      <c r="T256" s="47"/>
      <c r="U256" s="47"/>
      <c r="V256" s="97"/>
      <c r="W256" s="47"/>
      <c r="X256" s="101"/>
      <c r="Y256" s="47" t="s">
        <v>2511</v>
      </c>
      <c r="Z256" s="101" t="s">
        <v>3166</v>
      </c>
      <c r="AA256" s="47" t="s">
        <v>45</v>
      </c>
      <c r="AB256" s="43"/>
      <c r="AC256">
        <f t="shared" si="48"/>
        <v>49</v>
      </c>
    </row>
    <row r="257" spans="2:29" x14ac:dyDescent="0.35">
      <c r="B257">
        <f t="shared" si="47"/>
        <v>50</v>
      </c>
      <c r="C257" s="23" t="str">
        <f t="shared" si="50"/>
        <v>Ernie X1 by Baidu they claim it match Deepseek-R1</v>
      </c>
      <c r="D257" s="15" t="s">
        <v>2717</v>
      </c>
      <c r="E257" s="15" t="s">
        <v>2717</v>
      </c>
      <c r="F257" s="551" t="s">
        <v>45</v>
      </c>
      <c r="G257" s="551"/>
      <c r="H257" s="551" t="s">
        <v>2717</v>
      </c>
      <c r="I257" s="47" t="s">
        <v>2406</v>
      </c>
      <c r="J257" s="98"/>
      <c r="K257" s="47"/>
      <c r="L257" s="101"/>
      <c r="N257" s="97"/>
      <c r="O257" s="29"/>
      <c r="P257" s="97"/>
      <c r="Q257" s="29"/>
      <c r="R257" s="29"/>
      <c r="S257" s="29"/>
      <c r="T257" s="47"/>
      <c r="U257" s="47"/>
      <c r="V257" s="97"/>
      <c r="W257" s="47"/>
      <c r="X257" s="101"/>
      <c r="Y257" s="47"/>
      <c r="Z257" s="101"/>
      <c r="AA257" s="47"/>
      <c r="AB257" s="43"/>
      <c r="AC257">
        <f t="shared" si="48"/>
        <v>50</v>
      </c>
    </row>
    <row r="258" spans="2:29" x14ac:dyDescent="0.35">
      <c r="B258">
        <f t="shared" si="47"/>
        <v>51</v>
      </c>
      <c r="C258" s="23" t="str">
        <f t="shared" si="50"/>
        <v>Ernie 4.5 by Baidu theyu claim it match GPT-4.5</v>
      </c>
      <c r="D258" s="15" t="s">
        <v>2717</v>
      </c>
      <c r="E258" s="15" t="s">
        <v>2717</v>
      </c>
      <c r="F258" s="551" t="s">
        <v>45</v>
      </c>
      <c r="G258" s="551"/>
      <c r="H258" s="551" t="s">
        <v>2717</v>
      </c>
      <c r="I258" s="47" t="s">
        <v>2406</v>
      </c>
      <c r="J258" s="98"/>
      <c r="K258" s="47"/>
      <c r="L258" s="101"/>
      <c r="N258" s="97"/>
      <c r="O258" s="29"/>
      <c r="P258" s="97"/>
      <c r="Q258" s="29"/>
      <c r="R258" s="29"/>
      <c r="S258" s="29"/>
      <c r="T258" s="47"/>
      <c r="U258" s="47"/>
      <c r="V258" s="97"/>
      <c r="W258" s="47"/>
      <c r="X258" s="101"/>
      <c r="Y258" s="47"/>
      <c r="Z258" s="101"/>
      <c r="AA258" s="47"/>
      <c r="AB258" s="43"/>
      <c r="AC258">
        <f t="shared" si="48"/>
        <v>51</v>
      </c>
    </row>
    <row r="259" spans="2:29" ht="15" thickBot="1" x14ac:dyDescent="0.4">
      <c r="B259">
        <f t="shared" si="47"/>
        <v>52</v>
      </c>
      <c r="C259" s="23" t="str">
        <f t="shared" si="50"/>
        <v>Nemotron-4 by NVIDIA</v>
      </c>
      <c r="D259" s="15" t="s">
        <v>757</v>
      </c>
      <c r="E259" s="15" t="s">
        <v>757</v>
      </c>
      <c r="F259" s="15"/>
      <c r="G259" s="15"/>
      <c r="H259" s="551" t="s">
        <v>45</v>
      </c>
      <c r="I259" s="47" t="s">
        <v>1146</v>
      </c>
      <c r="J259" s="98"/>
      <c r="K259" s="140" t="s">
        <v>758</v>
      </c>
      <c r="L259" s="101" t="s">
        <v>292</v>
      </c>
      <c r="M259" t="s">
        <v>135</v>
      </c>
      <c r="N259" s="140" t="s">
        <v>758</v>
      </c>
      <c r="O259" s="47"/>
      <c r="P259" s="97"/>
      <c r="Q259" s="29" t="s">
        <v>135</v>
      </c>
      <c r="R259" s="29" t="s">
        <v>1901</v>
      </c>
      <c r="S259" s="29" t="s">
        <v>860</v>
      </c>
      <c r="T259" s="15" t="s">
        <v>1674</v>
      </c>
      <c r="U259" s="15" t="s">
        <v>758</v>
      </c>
      <c r="V259" s="97" t="s">
        <v>135</v>
      </c>
      <c r="W259" s="15" t="s">
        <v>1086</v>
      </c>
      <c r="X259" s="101" t="s">
        <v>45</v>
      </c>
      <c r="Z259" s="101" t="s">
        <v>1350</v>
      </c>
      <c r="AA259" s="47" t="s">
        <v>43</v>
      </c>
      <c r="AB259" s="43" t="s">
        <v>1922</v>
      </c>
      <c r="AC259">
        <f t="shared" si="48"/>
        <v>52</v>
      </c>
    </row>
    <row r="260" spans="2:29" ht="21.5" thickTop="1" x14ac:dyDescent="0.5">
      <c r="B260">
        <f t="shared" si="47"/>
        <v>53</v>
      </c>
      <c r="C260" s="702" t="str">
        <f t="shared" si="50"/>
        <v>AI models for mainly image processing models mostly based on the diffusion neural network architecture that are good at generating images from text prompts</v>
      </c>
      <c r="D260" s="476"/>
      <c r="E260" s="476"/>
      <c r="F260" s="476"/>
      <c r="G260" s="476"/>
      <c r="H260" s="476"/>
      <c r="I260" s="476"/>
      <c r="J260" s="476"/>
      <c r="K260" s="477"/>
      <c r="L260" s="477"/>
      <c r="M260" s="477"/>
      <c r="N260" s="461"/>
      <c r="O260" s="477"/>
      <c r="P260" s="477"/>
      <c r="Q260" s="477" t="s">
        <v>135</v>
      </c>
      <c r="R260" s="477"/>
      <c r="S260" s="477"/>
      <c r="T260" s="477"/>
      <c r="U260" s="477"/>
      <c r="V260" s="477"/>
      <c r="W260" s="476"/>
      <c r="X260" s="461"/>
      <c r="Y260" s="461"/>
      <c r="Z260" s="461"/>
      <c r="AA260" s="477"/>
      <c r="AB260" s="558"/>
      <c r="AC260">
        <f t="shared" si="48"/>
        <v>53</v>
      </c>
    </row>
    <row r="261" spans="2:29" x14ac:dyDescent="0.35">
      <c r="B261">
        <f t="shared" si="47"/>
        <v>54</v>
      </c>
      <c r="C261" s="23" t="str">
        <f t="shared" si="50"/>
        <v>AlexNet by Hinton &amp; Sutskever</v>
      </c>
      <c r="D261" s="15" t="s">
        <v>1332</v>
      </c>
      <c r="E261" s="15" t="s">
        <v>1332</v>
      </c>
      <c r="F261" s="15" t="s">
        <v>1332</v>
      </c>
      <c r="G261" s="15" t="s">
        <v>1332</v>
      </c>
      <c r="H261" s="551" t="s">
        <v>45</v>
      </c>
      <c r="I261" s="15" t="s">
        <v>1580</v>
      </c>
      <c r="J261" s="98" t="s">
        <v>1332</v>
      </c>
      <c r="K261" s="15" t="s">
        <v>1332</v>
      </c>
      <c r="L261" s="97"/>
      <c r="M261" t="s">
        <v>1332</v>
      </c>
      <c r="N261" s="98" t="s">
        <v>1342</v>
      </c>
      <c r="O261" s="15"/>
      <c r="P261" s="97"/>
      <c r="Q261" s="29"/>
      <c r="R261" s="28"/>
      <c r="S261" s="29" t="s">
        <v>1342</v>
      </c>
      <c r="T261" s="47" t="s">
        <v>45</v>
      </c>
      <c r="U261" s="15"/>
      <c r="V261" s="98"/>
      <c r="W261" s="15" t="s">
        <v>1086</v>
      </c>
      <c r="X261" s="101" t="s">
        <v>45</v>
      </c>
      <c r="Y261" s="14" t="s">
        <v>1331</v>
      </c>
      <c r="Z261" s="101" t="s">
        <v>1351</v>
      </c>
      <c r="AA261" s="15"/>
      <c r="AB261" s="43"/>
      <c r="AC261">
        <f t="shared" si="48"/>
        <v>54</v>
      </c>
    </row>
    <row r="262" spans="2:29" x14ac:dyDescent="0.35">
      <c r="B262">
        <f t="shared" si="47"/>
        <v>55</v>
      </c>
      <c r="C262" s="23" t="str">
        <f t="shared" si="50"/>
        <v>Stable Diffusion 2.1 by Stability AI</v>
      </c>
      <c r="D262" s="15" t="s">
        <v>242</v>
      </c>
      <c r="E262" s="15"/>
      <c r="F262" s="15" t="s">
        <v>243</v>
      </c>
      <c r="G262" s="15" t="s">
        <v>243</v>
      </c>
      <c r="H262" s="551" t="s">
        <v>45</v>
      </c>
      <c r="I262" s="15" t="s">
        <v>253</v>
      </c>
      <c r="J262" s="98" t="s">
        <v>244</v>
      </c>
      <c r="K262" s="47" t="s">
        <v>135</v>
      </c>
      <c r="L262" s="97" t="s">
        <v>1040</v>
      </c>
      <c r="M262" t="s">
        <v>135</v>
      </c>
      <c r="N262" s="98" t="s">
        <v>248</v>
      </c>
      <c r="O262" s="15" t="s">
        <v>248</v>
      </c>
      <c r="P262" s="97" t="s">
        <v>135</v>
      </c>
      <c r="Q262" s="29" t="s">
        <v>135</v>
      </c>
      <c r="R262" s="28" t="s">
        <v>1274</v>
      </c>
      <c r="S262" s="29" t="s">
        <v>860</v>
      </c>
      <c r="T262" s="47" t="s">
        <v>45</v>
      </c>
      <c r="U262" s="15" t="s">
        <v>403</v>
      </c>
      <c r="V262" s="98" t="s">
        <v>1043</v>
      </c>
      <c r="W262" t="s">
        <v>1086</v>
      </c>
      <c r="X262" s="101" t="s">
        <v>45</v>
      </c>
      <c r="Y262" t="s">
        <v>45</v>
      </c>
      <c r="Z262" s="140" t="s">
        <v>1350</v>
      </c>
      <c r="AA262" s="15" t="s">
        <v>250</v>
      </c>
      <c r="AB262" s="110"/>
      <c r="AC262">
        <f t="shared" si="48"/>
        <v>55</v>
      </c>
    </row>
    <row r="263" spans="2:29" x14ac:dyDescent="0.35">
      <c r="B263">
        <f t="shared" si="47"/>
        <v>56</v>
      </c>
      <c r="C263" s="23" t="str">
        <f t="shared" si="50"/>
        <v>Stable Diffusion XL by Stability AI</v>
      </c>
      <c r="D263" s="15" t="s">
        <v>650</v>
      </c>
      <c r="E263" s="15" t="s">
        <v>650</v>
      </c>
      <c r="F263" s="15" t="s">
        <v>651</v>
      </c>
      <c r="G263" s="15" t="s">
        <v>243</v>
      </c>
      <c r="H263" s="551" t="s">
        <v>45</v>
      </c>
      <c r="I263" s="15" t="s">
        <v>253</v>
      </c>
      <c r="J263" s="98" t="s">
        <v>650</v>
      </c>
      <c r="K263" s="47" t="s">
        <v>135</v>
      </c>
      <c r="L263" s="97" t="s">
        <v>1040</v>
      </c>
      <c r="M263" t="s">
        <v>135</v>
      </c>
      <c r="N263" s="97" t="s">
        <v>1039</v>
      </c>
      <c r="O263" s="47" t="s">
        <v>1039</v>
      </c>
      <c r="P263" s="97" t="s">
        <v>135</v>
      </c>
      <c r="Q263" s="29" t="s">
        <v>135</v>
      </c>
      <c r="R263" s="29" t="s">
        <v>1275</v>
      </c>
      <c r="S263" s="29" t="s">
        <v>860</v>
      </c>
      <c r="T263" s="47" t="s">
        <v>45</v>
      </c>
      <c r="U263" s="15" t="s">
        <v>403</v>
      </c>
      <c r="V263" s="98" t="s">
        <v>641</v>
      </c>
      <c r="W263" s="15" t="s">
        <v>1086</v>
      </c>
      <c r="X263" s="101" t="s">
        <v>45</v>
      </c>
      <c r="Y263" t="s">
        <v>45</v>
      </c>
      <c r="Z263" s="101" t="s">
        <v>45</v>
      </c>
      <c r="AA263" s="15" t="s">
        <v>250</v>
      </c>
      <c r="AB263" s="43"/>
      <c r="AC263">
        <f t="shared" si="48"/>
        <v>56</v>
      </c>
    </row>
    <row r="264" spans="2:29" x14ac:dyDescent="0.35">
      <c r="B264">
        <f t="shared" si="47"/>
        <v>57</v>
      </c>
      <c r="C264" s="23" t="str">
        <f t="shared" si="50"/>
        <v>Flux.1 -Dev by Black Forest Lab from Stability AI</v>
      </c>
      <c r="D264" s="15" t="s">
        <v>1479</v>
      </c>
      <c r="E264" s="15" t="s">
        <v>1479</v>
      </c>
      <c r="F264" s="15" t="s">
        <v>1479</v>
      </c>
      <c r="G264" s="15" t="s">
        <v>1483</v>
      </c>
      <c r="H264" s="551" t="s">
        <v>45</v>
      </c>
      <c r="I264" s="15"/>
      <c r="J264" s="98" t="s">
        <v>1479</v>
      </c>
      <c r="K264" s="15" t="s">
        <v>1480</v>
      </c>
      <c r="L264" s="97" t="s">
        <v>45</v>
      </c>
      <c r="N264" s="97"/>
      <c r="O264" s="47"/>
      <c r="P264" s="97"/>
      <c r="Q264" s="29"/>
      <c r="R264" s="29"/>
      <c r="S264" s="29"/>
      <c r="T264" s="47" t="s">
        <v>45</v>
      </c>
      <c r="U264" s="15"/>
      <c r="V264" s="98"/>
      <c r="W264" t="s">
        <v>1086</v>
      </c>
      <c r="X264" s="101" t="s">
        <v>45</v>
      </c>
      <c r="Z264" s="101"/>
      <c r="AA264" s="15"/>
      <c r="AB264" s="43"/>
      <c r="AC264">
        <f t="shared" si="48"/>
        <v>57</v>
      </c>
    </row>
    <row r="265" spans="2:29" x14ac:dyDescent="0.35">
      <c r="B265">
        <f t="shared" si="47"/>
        <v>58</v>
      </c>
      <c r="C265" s="23" t="str">
        <f t="shared" si="50"/>
        <v>Ideogram 1.0</v>
      </c>
      <c r="D265" s="15" t="s">
        <v>1034</v>
      </c>
      <c r="E265" s="15" t="s">
        <v>1034</v>
      </c>
      <c r="F265" s="15" t="s">
        <v>1036</v>
      </c>
      <c r="G265" s="15" t="s">
        <v>1037</v>
      </c>
      <c r="H265" s="551" t="s">
        <v>45</v>
      </c>
      <c r="I265" s="15"/>
      <c r="J265" s="98" t="s">
        <v>1038</v>
      </c>
      <c r="K265" s="47" t="s">
        <v>135</v>
      </c>
      <c r="L265" s="97" t="s">
        <v>1041</v>
      </c>
      <c r="M265" t="s">
        <v>135</v>
      </c>
      <c r="N265" s="97" t="s">
        <v>1042</v>
      </c>
      <c r="O265" s="47" t="s">
        <v>1042</v>
      </c>
      <c r="P265" s="97" t="s">
        <v>135</v>
      </c>
      <c r="Q265" s="29" t="s">
        <v>135</v>
      </c>
      <c r="R265" s="29"/>
      <c r="S265" s="29"/>
      <c r="T265" s="47" t="s">
        <v>2511</v>
      </c>
      <c r="U265" s="15" t="s">
        <v>403</v>
      </c>
      <c r="V265" s="504" t="s">
        <v>45</v>
      </c>
      <c r="W265" s="15" t="s">
        <v>1086</v>
      </c>
      <c r="X265" s="101" t="s">
        <v>45</v>
      </c>
      <c r="Y265" t="s">
        <v>45</v>
      </c>
      <c r="Z265" s="101" t="s">
        <v>45</v>
      </c>
      <c r="AA265" s="15" t="s">
        <v>45</v>
      </c>
      <c r="AB265" s="43"/>
      <c r="AC265">
        <f t="shared" si="48"/>
        <v>58</v>
      </c>
    </row>
    <row r="266" spans="2:29" ht="15" thickBot="1" x14ac:dyDescent="0.4">
      <c r="B266">
        <f t="shared" ref="B266:B328" si="51">B265+1</f>
        <v>59</v>
      </c>
      <c r="C266" s="23" t="str">
        <f t="shared" si="50"/>
        <v>Dall-E 2 by OpenAI</v>
      </c>
      <c r="D266" s="15" t="s">
        <v>245</v>
      </c>
      <c r="E266" s="15"/>
      <c r="F266" s="15" t="s">
        <v>247</v>
      </c>
      <c r="G266" s="15" t="s">
        <v>247</v>
      </c>
      <c r="H266" s="551" t="s">
        <v>45</v>
      </c>
      <c r="I266" s="15" t="s">
        <v>253</v>
      </c>
      <c r="J266" s="98" t="s">
        <v>245</v>
      </c>
      <c r="K266" s="47" t="s">
        <v>249</v>
      </c>
      <c r="L266" s="97" t="s">
        <v>652</v>
      </c>
      <c r="M266" t="s">
        <v>135</v>
      </c>
      <c r="N266" s="97" t="s">
        <v>995</v>
      </c>
      <c r="O266" s="47" t="s">
        <v>251</v>
      </c>
      <c r="P266" s="97" t="s">
        <v>135</v>
      </c>
      <c r="Q266" s="29" t="s">
        <v>135</v>
      </c>
      <c r="R266" s="29" t="s">
        <v>1923</v>
      </c>
      <c r="S266" s="29"/>
      <c r="T266" s="47" t="s">
        <v>45</v>
      </c>
      <c r="U266" s="15" t="s">
        <v>403</v>
      </c>
      <c r="V266" s="97" t="s">
        <v>45</v>
      </c>
      <c r="W266" t="s">
        <v>1086</v>
      </c>
      <c r="X266" s="101" t="s">
        <v>45</v>
      </c>
      <c r="Y266" t="s">
        <v>45</v>
      </c>
      <c r="Z266" s="101" t="s">
        <v>45</v>
      </c>
      <c r="AA266" s="15" t="s">
        <v>253</v>
      </c>
      <c r="AB266" s="110"/>
      <c r="AC266">
        <f t="shared" si="48"/>
        <v>59</v>
      </c>
    </row>
    <row r="267" spans="2:29" ht="21.5" thickTop="1" x14ac:dyDescent="0.5">
      <c r="B267">
        <f t="shared" si="51"/>
        <v>60</v>
      </c>
      <c r="C267" s="702" t="str">
        <f t="shared" si="50"/>
        <v>AI models for autonomous vehicles (AI video models used to mostly be based on Convolutional Neural Networks (CNNs) because of their high efficiency. However, vision transformers are taking over in large part but not entirely and Tesla in particular has shifted from less use of CNNs to more use of vision transformers since FSD 12 came in 2024 see https://www.thinkautonomous.ai/blog/tesla-cnns-vs-transformers/)</v>
      </c>
      <c r="D267" s="476"/>
      <c r="E267" s="476"/>
      <c r="F267" s="476"/>
      <c r="G267" s="476"/>
      <c r="H267" s="476"/>
      <c r="I267" s="476"/>
      <c r="J267" s="476"/>
      <c r="K267" s="477"/>
      <c r="L267" s="477"/>
      <c r="M267" s="461"/>
      <c r="N267" s="477"/>
      <c r="O267" s="477"/>
      <c r="P267" s="477"/>
      <c r="Q267" s="477"/>
      <c r="R267" s="477"/>
      <c r="S267" s="477"/>
      <c r="T267" s="477"/>
      <c r="U267" s="476"/>
      <c r="V267" s="477"/>
      <c r="W267" s="476"/>
      <c r="X267" s="461"/>
      <c r="Y267" s="461"/>
      <c r="Z267" s="461"/>
      <c r="AA267" s="476"/>
      <c r="AB267" s="559"/>
      <c r="AC267">
        <f t="shared" si="48"/>
        <v>60</v>
      </c>
    </row>
    <row r="268" spans="2:29" x14ac:dyDescent="0.35">
      <c r="B268">
        <f t="shared" si="51"/>
        <v>61</v>
      </c>
      <c r="C268" s="23" t="str">
        <f t="shared" si="50"/>
        <v>FSD AI 1st gen by Tesla</v>
      </c>
      <c r="D268" s="131" t="s">
        <v>1877</v>
      </c>
      <c r="E268" t="s">
        <v>292</v>
      </c>
      <c r="F268" t="s">
        <v>292</v>
      </c>
      <c r="G268" s="41" t="s">
        <v>980</v>
      </c>
      <c r="H268" s="41" t="s">
        <v>2087</v>
      </c>
      <c r="I268" s="41" t="s">
        <v>63</v>
      </c>
      <c r="J268" s="14" t="s">
        <v>1877</v>
      </c>
      <c r="K268" s="94" t="s">
        <v>319</v>
      </c>
      <c r="L268" s="97" t="s">
        <v>292</v>
      </c>
      <c r="M268" s="37" t="s">
        <v>1812</v>
      </c>
      <c r="N268" s="97" t="s">
        <v>292</v>
      </c>
      <c r="O268" s="47" t="s">
        <v>292</v>
      </c>
      <c r="P268" s="97" t="s">
        <v>135</v>
      </c>
      <c r="Q268" s="29" t="s">
        <v>135</v>
      </c>
      <c r="R268" s="29"/>
      <c r="S268" s="29"/>
      <c r="T268" s="47" t="s">
        <v>45</v>
      </c>
      <c r="U268" s="47" t="s">
        <v>349</v>
      </c>
      <c r="V268" s="98" t="s">
        <v>570</v>
      </c>
      <c r="W268" s="14" t="s">
        <v>849</v>
      </c>
      <c r="X268" s="140" t="s">
        <v>1902</v>
      </c>
      <c r="Y268" t="s">
        <v>45</v>
      </c>
      <c r="Z268" s="101"/>
      <c r="AA268" s="15" t="s">
        <v>293</v>
      </c>
      <c r="AB268" s="43" t="s">
        <v>45</v>
      </c>
      <c r="AC268">
        <f t="shared" si="48"/>
        <v>61</v>
      </c>
    </row>
    <row r="269" spans="2:29" x14ac:dyDescent="0.35">
      <c r="B269">
        <f t="shared" si="51"/>
        <v>62</v>
      </c>
      <c r="C269" s="23" t="str">
        <f t="shared" si="50"/>
        <v>FSD AI 2nd gen by Tesla, end-to-end AI</v>
      </c>
      <c r="D269" t="s">
        <v>1878</v>
      </c>
      <c r="E269" t="s">
        <v>292</v>
      </c>
      <c r="F269" t="s">
        <v>292</v>
      </c>
      <c r="G269" s="41" t="s">
        <v>980</v>
      </c>
      <c r="H269" s="41" t="s">
        <v>2087</v>
      </c>
      <c r="I269" s="35" t="s">
        <v>71</v>
      </c>
      <c r="J269" t="s">
        <v>1878</v>
      </c>
      <c r="K269" s="94" t="s">
        <v>319</v>
      </c>
      <c r="L269" s="97" t="s">
        <v>292</v>
      </c>
      <c r="M269" s="37" t="s">
        <v>1812</v>
      </c>
      <c r="N269" s="97" t="s">
        <v>292</v>
      </c>
      <c r="O269" s="47" t="s">
        <v>292</v>
      </c>
      <c r="P269" s="97" t="s">
        <v>135</v>
      </c>
      <c r="Q269" s="29" t="s">
        <v>135</v>
      </c>
      <c r="R269" s="29"/>
      <c r="S269" s="29"/>
      <c r="T269" s="47" t="s">
        <v>45</v>
      </c>
      <c r="U269" s="47" t="s">
        <v>349</v>
      </c>
      <c r="V269" s="98" t="s">
        <v>570</v>
      </c>
      <c r="W269" s="14" t="s">
        <v>849</v>
      </c>
      <c r="X269" s="101" t="s">
        <v>45</v>
      </c>
      <c r="Y269" t="s">
        <v>45</v>
      </c>
      <c r="Z269" s="101"/>
      <c r="AA269" s="15" t="s">
        <v>293</v>
      </c>
      <c r="AB269" s="43" t="s">
        <v>45</v>
      </c>
      <c r="AC269">
        <f t="shared" si="48"/>
        <v>62</v>
      </c>
    </row>
    <row r="270" spans="2:29" x14ac:dyDescent="0.35">
      <c r="B270">
        <f t="shared" si="51"/>
        <v>63</v>
      </c>
      <c r="C270" s="23" t="str">
        <f t="shared" si="50"/>
        <v>Waymo driver by Google</v>
      </c>
      <c r="D270" t="s">
        <v>1248</v>
      </c>
      <c r="E270" t="s">
        <v>1248</v>
      </c>
      <c r="F270" t="s">
        <v>1249</v>
      </c>
      <c r="G270" s="35" t="s">
        <v>1446</v>
      </c>
      <c r="H270" s="41" t="s">
        <v>45</v>
      </c>
      <c r="I270" s="35"/>
      <c r="J270" s="433" t="s">
        <v>45</v>
      </c>
      <c r="K270" s="434" t="s">
        <v>45</v>
      </c>
      <c r="L270" s="433" t="s">
        <v>45</v>
      </c>
      <c r="M270" s="37" t="s">
        <v>1812</v>
      </c>
      <c r="N270" s="433" t="s">
        <v>45</v>
      </c>
      <c r="O270" s="224" t="s">
        <v>45</v>
      </c>
      <c r="P270" s="433" t="s">
        <v>45</v>
      </c>
      <c r="Q270" s="109" t="s">
        <v>45</v>
      </c>
      <c r="R270" s="109" t="s">
        <v>45</v>
      </c>
      <c r="S270" s="109" t="s">
        <v>45</v>
      </c>
      <c r="T270" s="47" t="s">
        <v>45</v>
      </c>
      <c r="U270" s="224" t="s">
        <v>45</v>
      </c>
      <c r="V270" s="433" t="s">
        <v>45</v>
      </c>
      <c r="W270" s="15" t="s">
        <v>1086</v>
      </c>
      <c r="X270" s="433" t="s">
        <v>45</v>
      </c>
      <c r="Y270" s="435" t="s">
        <v>45</v>
      </c>
      <c r="Z270" s="505"/>
      <c r="AA270" s="434" t="s">
        <v>45</v>
      </c>
      <c r="AB270" s="43"/>
      <c r="AC270">
        <f t="shared" si="48"/>
        <v>63</v>
      </c>
    </row>
    <row r="271" spans="2:29" x14ac:dyDescent="0.35">
      <c r="B271">
        <f t="shared" si="51"/>
        <v>64</v>
      </c>
      <c r="C271" s="23" t="str">
        <f t="shared" si="50"/>
        <v>DiPilot 100 AI driver by BYD</v>
      </c>
      <c r="D271" t="s">
        <v>2082</v>
      </c>
      <c r="E271" t="s">
        <v>2082</v>
      </c>
      <c r="F271" t="s">
        <v>2082</v>
      </c>
      <c r="G271" t="s">
        <v>2082</v>
      </c>
      <c r="H271" t="s">
        <v>2086</v>
      </c>
      <c r="I271" t="s">
        <v>2082</v>
      </c>
      <c r="J271" s="97" t="s">
        <v>135</v>
      </c>
      <c r="K271" s="94" t="s">
        <v>319</v>
      </c>
      <c r="L271" s="97" t="s">
        <v>292</v>
      </c>
      <c r="M271" s="37" t="s">
        <v>1812</v>
      </c>
      <c r="N271" s="97" t="s">
        <v>292</v>
      </c>
      <c r="O271" s="47" t="s">
        <v>292</v>
      </c>
      <c r="P271" s="97" t="s">
        <v>135</v>
      </c>
      <c r="Q271" s="29" t="s">
        <v>135</v>
      </c>
      <c r="R271" s="29"/>
      <c r="S271" s="29"/>
      <c r="T271" s="47" t="s">
        <v>45</v>
      </c>
      <c r="U271" s="47" t="s">
        <v>349</v>
      </c>
      <c r="V271" s="97" t="s">
        <v>344</v>
      </c>
      <c r="W271" s="14" t="s">
        <v>2083</v>
      </c>
      <c r="X271" s="433" t="s">
        <v>45</v>
      </c>
      <c r="Y271" s="436" t="s">
        <v>45</v>
      </c>
      <c r="Z271" s="506"/>
      <c r="AA271" s="434" t="s">
        <v>45</v>
      </c>
      <c r="AB271" s="43"/>
      <c r="AC271">
        <f t="shared" si="48"/>
        <v>64</v>
      </c>
    </row>
    <row r="272" spans="2:29" x14ac:dyDescent="0.35">
      <c r="B272">
        <f t="shared" si="51"/>
        <v>65</v>
      </c>
      <c r="C272" s="23" t="str">
        <f t="shared" si="50"/>
        <v>DiPilot 300 AI driver by BYD</v>
      </c>
      <c r="D272" s="131" t="s">
        <v>2082</v>
      </c>
      <c r="E272" t="s">
        <v>2082</v>
      </c>
      <c r="F272" t="s">
        <v>2082</v>
      </c>
      <c r="G272" t="s">
        <v>2082</v>
      </c>
      <c r="H272" t="s">
        <v>2086</v>
      </c>
      <c r="I272" t="s">
        <v>2082</v>
      </c>
      <c r="J272" s="97" t="s">
        <v>135</v>
      </c>
      <c r="K272" s="94" t="s">
        <v>319</v>
      </c>
      <c r="L272" s="97" t="s">
        <v>292</v>
      </c>
      <c r="M272" s="37" t="s">
        <v>1812</v>
      </c>
      <c r="N272" s="97" t="s">
        <v>292</v>
      </c>
      <c r="O272" s="47" t="s">
        <v>292</v>
      </c>
      <c r="P272" s="97" t="s">
        <v>135</v>
      </c>
      <c r="Q272" s="29" t="s">
        <v>135</v>
      </c>
      <c r="R272" s="29"/>
      <c r="S272" s="29"/>
      <c r="T272" s="47" t="s">
        <v>45</v>
      </c>
      <c r="U272" s="47" t="s">
        <v>349</v>
      </c>
      <c r="V272" s="97" t="s">
        <v>344</v>
      </c>
      <c r="W272" s="14" t="s">
        <v>2083</v>
      </c>
      <c r="X272" s="433" t="s">
        <v>45</v>
      </c>
      <c r="Y272" s="436" t="s">
        <v>45</v>
      </c>
      <c r="Z272" s="506"/>
      <c r="AA272" s="434" t="s">
        <v>45</v>
      </c>
      <c r="AB272" s="43"/>
      <c r="AC272">
        <f t="shared" si="48"/>
        <v>65</v>
      </c>
    </row>
    <row r="273" spans="2:29" x14ac:dyDescent="0.35">
      <c r="B273">
        <f t="shared" si="51"/>
        <v>66</v>
      </c>
      <c r="C273" s="23" t="str">
        <f t="shared" si="50"/>
        <v>DiPilot 600 AI driver by BYD</v>
      </c>
      <c r="D273" s="131" t="s">
        <v>2082</v>
      </c>
      <c r="E273" t="s">
        <v>2082</v>
      </c>
      <c r="F273" t="s">
        <v>2082</v>
      </c>
      <c r="G273" t="s">
        <v>2082</v>
      </c>
      <c r="H273" t="s">
        <v>2086</v>
      </c>
      <c r="I273" t="s">
        <v>2082</v>
      </c>
      <c r="J273" s="97" t="s">
        <v>135</v>
      </c>
      <c r="K273" s="94" t="s">
        <v>319</v>
      </c>
      <c r="L273" s="97" t="s">
        <v>292</v>
      </c>
      <c r="M273" s="37" t="s">
        <v>1812</v>
      </c>
      <c r="N273" s="97" t="s">
        <v>292</v>
      </c>
      <c r="O273" s="47" t="s">
        <v>292</v>
      </c>
      <c r="P273" s="97" t="s">
        <v>135</v>
      </c>
      <c r="Q273" s="29" t="s">
        <v>135</v>
      </c>
      <c r="R273" s="29"/>
      <c r="S273" s="29"/>
      <c r="T273" s="47" t="s">
        <v>45</v>
      </c>
      <c r="U273" s="47" t="s">
        <v>349</v>
      </c>
      <c r="V273" s="97" t="s">
        <v>344</v>
      </c>
      <c r="W273" s="14" t="s">
        <v>849</v>
      </c>
      <c r="X273" s="433" t="s">
        <v>45</v>
      </c>
      <c r="Y273" s="436" t="s">
        <v>45</v>
      </c>
      <c r="Z273" s="506"/>
      <c r="AA273" s="434" t="s">
        <v>45</v>
      </c>
      <c r="AB273" s="43"/>
      <c r="AC273">
        <f t="shared" si="48"/>
        <v>66</v>
      </c>
    </row>
    <row r="274" spans="2:29" x14ac:dyDescent="0.35">
      <c r="B274">
        <f t="shared" si="51"/>
        <v>67</v>
      </c>
      <c r="C274" s="23" t="str">
        <f t="shared" si="50"/>
        <v>G-Pilot AI driver by Zeekr China BEV maker</v>
      </c>
      <c r="D274" s="131" t="s">
        <v>2802</v>
      </c>
      <c r="E274" s="131" t="s">
        <v>2802</v>
      </c>
      <c r="F274" t="s">
        <v>2804</v>
      </c>
      <c r="G274" t="s">
        <v>2803</v>
      </c>
      <c r="H274" t="s">
        <v>2803</v>
      </c>
      <c r="I274" t="s">
        <v>2803</v>
      </c>
      <c r="J274" s="97" t="s">
        <v>135</v>
      </c>
      <c r="K274" s="94" t="s">
        <v>319</v>
      </c>
      <c r="L274" s="97" t="s">
        <v>292</v>
      </c>
      <c r="M274" s="37" t="s">
        <v>1812</v>
      </c>
      <c r="N274" s="97" t="s">
        <v>292</v>
      </c>
      <c r="O274" s="47" t="s">
        <v>292</v>
      </c>
      <c r="P274" s="97" t="s">
        <v>135</v>
      </c>
      <c r="Q274" s="29" t="s">
        <v>135</v>
      </c>
      <c r="R274" s="29" t="s">
        <v>2803</v>
      </c>
      <c r="S274" s="29" t="s">
        <v>45</v>
      </c>
      <c r="T274" s="47"/>
      <c r="U274" s="47"/>
      <c r="V274" s="97"/>
      <c r="W274" s="14"/>
      <c r="X274" s="433"/>
      <c r="Y274" s="436"/>
      <c r="Z274" s="506"/>
      <c r="AA274" s="434"/>
      <c r="AB274" s="43"/>
      <c r="AC274">
        <f t="shared" si="48"/>
        <v>67</v>
      </c>
    </row>
    <row r="275" spans="2:29" x14ac:dyDescent="0.35">
      <c r="B275">
        <f t="shared" si="51"/>
        <v>68</v>
      </c>
      <c r="C275" s="23" t="str">
        <f t="shared" si="50"/>
        <v>Wayve's AV2.0, end-to-end AI by Wayve</v>
      </c>
      <c r="D275" s="131" t="s">
        <v>2440</v>
      </c>
      <c r="E275" s="131" t="s">
        <v>2440</v>
      </c>
      <c r="F275" s="14" t="s">
        <v>2442</v>
      </c>
      <c r="G275" t="s">
        <v>45</v>
      </c>
      <c r="J275" s="97"/>
      <c r="K275" s="94"/>
      <c r="L275" s="97"/>
      <c r="M275" s="37"/>
      <c r="N275" s="97"/>
      <c r="O275" s="47"/>
      <c r="P275" s="97"/>
      <c r="Q275" s="29"/>
      <c r="R275" s="29"/>
      <c r="S275" s="29"/>
      <c r="T275" s="47"/>
      <c r="U275" s="47"/>
      <c r="V275" s="97"/>
      <c r="W275" s="14"/>
      <c r="X275" s="433"/>
      <c r="Y275" s="436"/>
      <c r="Z275" s="506"/>
      <c r="AA275" s="434"/>
      <c r="AB275" s="43"/>
      <c r="AC275">
        <f t="shared" si="48"/>
        <v>68</v>
      </c>
    </row>
    <row r="276" spans="2:29" x14ac:dyDescent="0.35">
      <c r="B276">
        <f t="shared" si="51"/>
        <v>69</v>
      </c>
      <c r="C276" s="23" t="str">
        <f t="shared" ref="C276:C293" si="52">C77</f>
        <v>Drive AV by Nvidia (AV=autonomous vehicles) HALOS</v>
      </c>
      <c r="D276" s="131" t="s">
        <v>2842</v>
      </c>
      <c r="E276" t="s">
        <v>45</v>
      </c>
      <c r="F276" t="s">
        <v>292</v>
      </c>
      <c r="G276" s="41" t="s">
        <v>45</v>
      </c>
      <c r="H276" s="41" t="s">
        <v>45</v>
      </c>
      <c r="I276" s="41"/>
      <c r="J276" s="97" t="s">
        <v>135</v>
      </c>
      <c r="K276" s="94" t="s">
        <v>319</v>
      </c>
      <c r="L276" s="97" t="s">
        <v>292</v>
      </c>
      <c r="M276" s="37" t="s">
        <v>1812</v>
      </c>
      <c r="N276" s="97" t="s">
        <v>292</v>
      </c>
      <c r="O276" s="47" t="s">
        <v>292</v>
      </c>
      <c r="P276" s="97" t="s">
        <v>135</v>
      </c>
      <c r="Q276" s="29" t="s">
        <v>135</v>
      </c>
      <c r="R276" s="29"/>
      <c r="S276" s="29"/>
      <c r="T276" s="47" t="s">
        <v>45</v>
      </c>
      <c r="U276" s="47" t="s">
        <v>349</v>
      </c>
      <c r="V276" s="97" t="s">
        <v>344</v>
      </c>
      <c r="W276" s="14" t="s">
        <v>621</v>
      </c>
      <c r="X276" s="433" t="s">
        <v>45</v>
      </c>
      <c r="Y276" s="436" t="s">
        <v>45</v>
      </c>
      <c r="Z276" s="506"/>
      <c r="AA276" s="434" t="s">
        <v>45</v>
      </c>
      <c r="AB276" s="43"/>
      <c r="AC276">
        <f t="shared" si="48"/>
        <v>69</v>
      </c>
    </row>
    <row r="277" spans="2:29" ht="15" thickBot="1" x14ac:dyDescent="0.4">
      <c r="B277">
        <f t="shared" si="51"/>
        <v>70</v>
      </c>
      <c r="C277" s="23" t="str">
        <f t="shared" si="52"/>
        <v>Dolphins VLA model by Nvidia</v>
      </c>
      <c r="D277" s="131" t="s">
        <v>2862</v>
      </c>
      <c r="E277" t="s">
        <v>2862</v>
      </c>
      <c r="G277" s="41"/>
      <c r="H277" s="41"/>
      <c r="I277" s="41"/>
      <c r="J277" s="97"/>
      <c r="K277" s="94"/>
      <c r="L277" s="97"/>
      <c r="M277" s="37"/>
      <c r="N277" s="97"/>
      <c r="O277" s="47"/>
      <c r="P277" s="97"/>
      <c r="Q277" s="29"/>
      <c r="R277" s="29"/>
      <c r="S277" s="29"/>
      <c r="T277" s="47"/>
      <c r="U277" s="47"/>
      <c r="V277" s="97"/>
      <c r="W277" s="14"/>
      <c r="X277" s="433"/>
      <c r="Y277" s="436"/>
      <c r="Z277" s="506"/>
      <c r="AA277" s="434"/>
      <c r="AB277" s="43"/>
      <c r="AC277">
        <f t="shared" si="48"/>
        <v>70</v>
      </c>
    </row>
    <row r="278" spans="2:29" ht="21.5" thickTop="1" x14ac:dyDescent="0.5">
      <c r="B278">
        <f t="shared" si="51"/>
        <v>71</v>
      </c>
      <c r="C278" s="702" t="str">
        <f t="shared" si="52"/>
        <v>AI models for humanoid robots</v>
      </c>
      <c r="D278" s="476"/>
      <c r="E278" s="461"/>
      <c r="F278" s="461"/>
      <c r="G278" s="478"/>
      <c r="H278" s="478"/>
      <c r="I278" s="478"/>
      <c r="J278" s="477"/>
      <c r="K278" s="477"/>
      <c r="L278" s="477"/>
      <c r="M278" s="458"/>
      <c r="N278" s="477"/>
      <c r="O278" s="477"/>
      <c r="P278" s="477"/>
      <c r="Q278" s="477"/>
      <c r="R278" s="477"/>
      <c r="S278" s="477"/>
      <c r="T278" s="477"/>
      <c r="U278" s="477"/>
      <c r="V278" s="477"/>
      <c r="W278" s="476"/>
      <c r="X278" s="1002"/>
      <c r="Y278" s="1004"/>
      <c r="Z278" s="1004"/>
      <c r="AA278" s="1002"/>
      <c r="AB278" s="558"/>
      <c r="AC278">
        <f t="shared" si="48"/>
        <v>71</v>
      </c>
    </row>
    <row r="279" spans="2:29" x14ac:dyDescent="0.35">
      <c r="B279">
        <f t="shared" si="51"/>
        <v>72</v>
      </c>
      <c r="C279" s="23" t="str">
        <f t="shared" si="52"/>
        <v>Optimus humanoid Gen2 by Tesla</v>
      </c>
      <c r="D279" s="131" t="s">
        <v>1254</v>
      </c>
      <c r="E279" t="s">
        <v>1254</v>
      </c>
      <c r="F279" t="s">
        <v>1254</v>
      </c>
      <c r="G279" s="41" t="s">
        <v>45</v>
      </c>
      <c r="H279" s="41" t="s">
        <v>45</v>
      </c>
      <c r="I279" s="41"/>
      <c r="J279" s="97" t="s">
        <v>135</v>
      </c>
      <c r="K279" s="94" t="s">
        <v>319</v>
      </c>
      <c r="L279" s="97" t="s">
        <v>292</v>
      </c>
      <c r="M279" s="37" t="s">
        <v>1267</v>
      </c>
      <c r="N279" s="97" t="s">
        <v>292</v>
      </c>
      <c r="O279" s="47" t="s">
        <v>292</v>
      </c>
      <c r="P279" s="97" t="s">
        <v>135</v>
      </c>
      <c r="Q279" s="29" t="s">
        <v>135</v>
      </c>
      <c r="R279" s="29"/>
      <c r="S279" s="29"/>
      <c r="T279" s="47" t="s">
        <v>45</v>
      </c>
      <c r="U279" s="47" t="s">
        <v>349</v>
      </c>
      <c r="V279" s="97"/>
      <c r="W279" s="15" t="s">
        <v>1086</v>
      </c>
      <c r="X279" s="433" t="s">
        <v>45</v>
      </c>
      <c r="Y279" s="435" t="s">
        <v>45</v>
      </c>
      <c r="Z279" s="507"/>
      <c r="AA279" s="94"/>
      <c r="AB279" s="43"/>
      <c r="AC279">
        <f t="shared" si="48"/>
        <v>72</v>
      </c>
    </row>
    <row r="280" spans="2:29" x14ac:dyDescent="0.35">
      <c r="B280">
        <f t="shared" si="51"/>
        <v>73</v>
      </c>
      <c r="C280" s="23" t="str">
        <f t="shared" si="52"/>
        <v>Figure 02 humanoid by Figure AI</v>
      </c>
      <c r="D280" t="s">
        <v>1258</v>
      </c>
      <c r="E280" t="s">
        <v>1259</v>
      </c>
      <c r="F280" t="s">
        <v>1259</v>
      </c>
      <c r="G280" s="41" t="s">
        <v>45</v>
      </c>
      <c r="H280" s="41" t="s">
        <v>45</v>
      </c>
      <c r="I280" s="41"/>
      <c r="J280" s="97" t="s">
        <v>135</v>
      </c>
      <c r="K280" s="94" t="s">
        <v>319</v>
      </c>
      <c r="L280" s="97" t="s">
        <v>292</v>
      </c>
      <c r="M280" s="37" t="s">
        <v>1267</v>
      </c>
      <c r="N280" s="97" t="s">
        <v>292</v>
      </c>
      <c r="O280" s="47" t="s">
        <v>292</v>
      </c>
      <c r="P280" s="97" t="s">
        <v>135</v>
      </c>
      <c r="Q280" s="47" t="s">
        <v>292</v>
      </c>
      <c r="R280" s="29"/>
      <c r="S280" s="29"/>
      <c r="T280" s="47" t="s">
        <v>45</v>
      </c>
      <c r="U280" s="47"/>
      <c r="V280" s="97"/>
      <c r="W280" t="s">
        <v>1086</v>
      </c>
      <c r="X280" s="433" t="s">
        <v>45</v>
      </c>
      <c r="Y280" s="435" t="s">
        <v>45</v>
      </c>
      <c r="Z280" s="507"/>
      <c r="AA280" s="94"/>
      <c r="AB280" s="43"/>
      <c r="AC280">
        <f t="shared" si="48"/>
        <v>73</v>
      </c>
    </row>
    <row r="281" spans="2:29" x14ac:dyDescent="0.35">
      <c r="B281">
        <f t="shared" si="51"/>
        <v>74</v>
      </c>
      <c r="C281" s="23" t="str">
        <f t="shared" si="52"/>
        <v>Figure 02 humanoid using Helix AI by Figure AI</v>
      </c>
      <c r="D281" t="s">
        <v>2248</v>
      </c>
      <c r="E281" t="s">
        <v>2248</v>
      </c>
      <c r="F281" t="s">
        <v>2248</v>
      </c>
      <c r="G281" t="s">
        <v>2248</v>
      </c>
      <c r="H281" t="s">
        <v>2248</v>
      </c>
      <c r="I281" t="s">
        <v>2248</v>
      </c>
      <c r="J281" t="s">
        <v>2248</v>
      </c>
      <c r="K281" s="94" t="s">
        <v>2249</v>
      </c>
      <c r="L281" s="97"/>
      <c r="M281" s="37"/>
      <c r="N281" s="97"/>
      <c r="O281" s="47"/>
      <c r="P281" s="97"/>
      <c r="Q281" s="47"/>
      <c r="R281" s="29"/>
      <c r="S281" s="29"/>
      <c r="T281" s="47"/>
      <c r="U281" s="47"/>
      <c r="V281" s="97"/>
      <c r="X281" s="433"/>
      <c r="Y281" s="435"/>
      <c r="Z281" s="507"/>
      <c r="AA281" s="94"/>
      <c r="AB281" s="43"/>
      <c r="AC281">
        <f t="shared" si="48"/>
        <v>74</v>
      </c>
    </row>
    <row r="282" spans="2:29" x14ac:dyDescent="0.35">
      <c r="B282">
        <f t="shared" si="51"/>
        <v>75</v>
      </c>
      <c r="C282" s="23" t="str">
        <f t="shared" si="52"/>
        <v>Atlas fully electric by Boston Dynamics</v>
      </c>
      <c r="D282" t="s">
        <v>2816</v>
      </c>
      <c r="E282" t="s">
        <v>45</v>
      </c>
      <c r="K282" s="94"/>
      <c r="L282" s="97"/>
      <c r="M282" s="37"/>
      <c r="N282" s="97"/>
      <c r="O282" s="47"/>
      <c r="P282" s="97"/>
      <c r="Q282" s="47"/>
      <c r="R282" s="29"/>
      <c r="S282" s="29"/>
      <c r="T282" s="47"/>
      <c r="U282" s="47"/>
      <c r="V282" s="97"/>
      <c r="X282" s="433"/>
      <c r="Y282" s="435"/>
      <c r="Z282" s="507"/>
      <c r="AA282" s="94"/>
      <c r="AB282" s="43"/>
      <c r="AC282">
        <f t="shared" si="48"/>
        <v>75</v>
      </c>
    </row>
    <row r="283" spans="2:29" x14ac:dyDescent="0.35">
      <c r="B283">
        <f t="shared" si="51"/>
        <v>76</v>
      </c>
      <c r="C283" s="23" t="str">
        <f t="shared" si="52"/>
        <v>NEO Gamma home humanoid by Norwegien 1X</v>
      </c>
      <c r="D283" t="s">
        <v>2336</v>
      </c>
      <c r="E283" s="14" t="s">
        <v>2337</v>
      </c>
      <c r="F283" t="s">
        <v>2337</v>
      </c>
      <c r="G283" t="s">
        <v>2337</v>
      </c>
      <c r="H283" s="145" t="s">
        <v>45</v>
      </c>
      <c r="I283" t="s">
        <v>2340</v>
      </c>
      <c r="J283" s="97" t="s">
        <v>135</v>
      </c>
      <c r="K283" s="94" t="s">
        <v>319</v>
      </c>
      <c r="L283" s="97" t="s">
        <v>292</v>
      </c>
      <c r="M283" s="37" t="s">
        <v>1267</v>
      </c>
      <c r="N283" s="97" t="s">
        <v>292</v>
      </c>
      <c r="O283" s="47" t="s">
        <v>292</v>
      </c>
      <c r="P283" s="97" t="s">
        <v>135</v>
      </c>
      <c r="Q283" s="47" t="s">
        <v>292</v>
      </c>
      <c r="R283" s="29"/>
      <c r="S283" s="29"/>
      <c r="T283" s="47" t="s">
        <v>45</v>
      </c>
      <c r="U283" s="47"/>
      <c r="V283" s="97"/>
      <c r="W283" t="s">
        <v>2341</v>
      </c>
      <c r="X283" s="433" t="s">
        <v>45</v>
      </c>
      <c r="Y283" s="435" t="s">
        <v>45</v>
      </c>
      <c r="Z283" s="507"/>
      <c r="AA283" s="94"/>
      <c r="AB283" s="43"/>
      <c r="AC283">
        <f t="shared" si="48"/>
        <v>76</v>
      </c>
    </row>
    <row r="284" spans="2:29" x14ac:dyDescent="0.35">
      <c r="B284">
        <f t="shared" si="51"/>
        <v>77</v>
      </c>
      <c r="C284" s="23" t="str">
        <f t="shared" si="52"/>
        <v>Iron humanoid by XPENG automaker China</v>
      </c>
      <c r="D284" t="s">
        <v>2581</v>
      </c>
      <c r="E284" t="s">
        <v>2581</v>
      </c>
      <c r="F284" t="s">
        <v>45</v>
      </c>
      <c r="H284" s="145"/>
      <c r="I284" t="s">
        <v>2582</v>
      </c>
      <c r="J284" s="97" t="s">
        <v>2582</v>
      </c>
      <c r="K284" s="94"/>
      <c r="L284" s="97"/>
      <c r="M284" s="37"/>
      <c r="N284" s="97"/>
      <c r="O284" s="47"/>
      <c r="P284" s="97"/>
      <c r="Q284" s="47"/>
      <c r="R284" s="29"/>
      <c r="S284" s="29"/>
      <c r="T284" s="47"/>
      <c r="U284" s="47"/>
      <c r="V284" s="97"/>
      <c r="X284" s="433"/>
      <c r="Y284" s="435"/>
      <c r="Z284" s="507"/>
      <c r="AA284" s="94"/>
      <c r="AB284" s="43"/>
      <c r="AC284">
        <f t="shared" si="48"/>
        <v>77</v>
      </c>
    </row>
    <row r="285" spans="2:29" x14ac:dyDescent="0.35">
      <c r="B285">
        <f t="shared" si="51"/>
        <v>78</v>
      </c>
      <c r="C285" s="23" t="str">
        <f t="shared" si="52"/>
        <v>Nvidia Isaac GROOT N1 foundational model android</v>
      </c>
      <c r="D285" s="131" t="s">
        <v>2823</v>
      </c>
      <c r="E285" s="131" t="s">
        <v>2831</v>
      </c>
      <c r="F285" t="s">
        <v>2830</v>
      </c>
      <c r="G285" t="s">
        <v>45</v>
      </c>
      <c r="H285" s="145"/>
      <c r="J285" s="97"/>
      <c r="K285" s="94"/>
      <c r="L285" s="97"/>
      <c r="M285" s="37"/>
      <c r="N285" s="97"/>
      <c r="O285" s="47"/>
      <c r="P285" s="97"/>
      <c r="Q285" s="47"/>
      <c r="R285" s="29"/>
      <c r="S285" s="29"/>
      <c r="T285" s="47"/>
      <c r="U285" s="47"/>
      <c r="V285" s="97"/>
      <c r="X285" s="433"/>
      <c r="Y285" s="435"/>
      <c r="Z285" s="507"/>
      <c r="AA285" s="94"/>
      <c r="AB285" s="43"/>
      <c r="AC285">
        <f t="shared" si="48"/>
        <v>78</v>
      </c>
    </row>
    <row r="286" spans="2:29" x14ac:dyDescent="0.35">
      <c r="B286">
        <f t="shared" si="51"/>
        <v>79</v>
      </c>
      <c r="C286" s="23" t="str">
        <f t="shared" si="52"/>
        <v>Gemini Robotics by Google foundational android model</v>
      </c>
      <c r="D286" s="131" t="s">
        <v>2836</v>
      </c>
      <c r="E286" s="131"/>
      <c r="H286" s="145"/>
      <c r="J286" s="97" t="s">
        <v>2445</v>
      </c>
      <c r="K286" s="94"/>
      <c r="L286" s="97"/>
      <c r="M286" s="37"/>
      <c r="N286" s="97"/>
      <c r="O286" s="47"/>
      <c r="P286" s="97"/>
      <c r="Q286" s="47"/>
      <c r="R286" s="29"/>
      <c r="S286" s="29"/>
      <c r="T286" s="47"/>
      <c r="U286" s="47"/>
      <c r="V286" s="97"/>
      <c r="X286" s="433"/>
      <c r="Y286" s="435"/>
      <c r="Z286" s="507"/>
      <c r="AA286" s="94"/>
      <c r="AB286" s="43"/>
      <c r="AC286">
        <f t="shared" si="48"/>
        <v>79</v>
      </c>
    </row>
    <row r="287" spans="2:29" ht="15" thickBot="1" x14ac:dyDescent="0.4">
      <c r="B287">
        <f t="shared" si="51"/>
        <v>80</v>
      </c>
      <c r="C287" s="23" t="str">
        <f t="shared" si="52"/>
        <v>Gemini Robotics-ER by Google</v>
      </c>
      <c r="D287" s="131" t="s">
        <v>2836</v>
      </c>
      <c r="E287" s="131"/>
      <c r="H287" s="145"/>
      <c r="J287" s="97" t="s">
        <v>2445</v>
      </c>
      <c r="K287" s="94"/>
      <c r="L287" s="97"/>
      <c r="M287" s="37"/>
      <c r="N287" s="97"/>
      <c r="O287" s="47"/>
      <c r="P287" s="97"/>
      <c r="Q287" s="47"/>
      <c r="R287" s="29"/>
      <c r="S287" s="29"/>
      <c r="T287" s="47"/>
      <c r="U287" s="47"/>
      <c r="V287" s="97"/>
      <c r="X287" s="433"/>
      <c r="Y287" s="435"/>
      <c r="Z287" s="507"/>
      <c r="AA287" s="94"/>
      <c r="AB287" s="43"/>
      <c r="AC287">
        <f t="shared" si="48"/>
        <v>80</v>
      </c>
    </row>
    <row r="288" spans="2:29" ht="21.5" thickTop="1" x14ac:dyDescent="0.5">
      <c r="B288">
        <f t="shared" si="51"/>
        <v>81</v>
      </c>
      <c r="C288" s="702" t="str">
        <f t="shared" si="52"/>
        <v>AI models for war drones and missiles</v>
      </c>
      <c r="D288" s="476"/>
      <c r="E288" s="476"/>
      <c r="F288" s="461"/>
      <c r="G288" s="461"/>
      <c r="H288" s="478"/>
      <c r="I288" s="461"/>
      <c r="J288" s="477"/>
      <c r="K288" s="477"/>
      <c r="L288" s="477"/>
      <c r="M288" s="458"/>
      <c r="N288" s="477"/>
      <c r="O288" s="477"/>
      <c r="P288" s="477"/>
      <c r="Q288" s="477"/>
      <c r="R288" s="477"/>
      <c r="S288" s="477"/>
      <c r="T288" s="477"/>
      <c r="U288" s="477"/>
      <c r="V288" s="477"/>
      <c r="W288" s="461"/>
      <c r="X288" s="1002"/>
      <c r="Y288" s="1003"/>
      <c r="Z288" s="479"/>
      <c r="AA288" s="477"/>
      <c r="AB288" s="558"/>
      <c r="AC288">
        <f t="shared" si="48"/>
        <v>81</v>
      </c>
    </row>
    <row r="289" spans="2:29" x14ac:dyDescent="0.35">
      <c r="B289">
        <f t="shared" si="51"/>
        <v>82</v>
      </c>
      <c r="C289" s="23" t="str">
        <f t="shared" si="52"/>
        <v>HX-2 AI strike drone by Helsing a German company. Nickname "mini Taurus"</v>
      </c>
      <c r="D289" t="s">
        <v>1834</v>
      </c>
      <c r="E289" s="131" t="s">
        <v>1835</v>
      </c>
      <c r="F289" t="s">
        <v>45</v>
      </c>
      <c r="G289" s="41" t="s">
        <v>45</v>
      </c>
      <c r="H289" s="41" t="s">
        <v>18</v>
      </c>
      <c r="I289" s="41" t="s">
        <v>1836</v>
      </c>
      <c r="J289" s="97" t="s">
        <v>135</v>
      </c>
      <c r="K289" s="94" t="s">
        <v>319</v>
      </c>
      <c r="L289" s="97" t="s">
        <v>292</v>
      </c>
      <c r="M289" s="37" t="s">
        <v>1267</v>
      </c>
      <c r="N289" s="97" t="s">
        <v>292</v>
      </c>
      <c r="O289" s="47" t="s">
        <v>292</v>
      </c>
      <c r="P289" s="97" t="s">
        <v>135</v>
      </c>
      <c r="Q289" s="47" t="s">
        <v>292</v>
      </c>
      <c r="R289" s="29"/>
      <c r="S289" s="29"/>
      <c r="T289" s="47" t="s">
        <v>45</v>
      </c>
      <c r="U289" s="47"/>
      <c r="V289" s="97"/>
      <c r="W289" t="s">
        <v>1086</v>
      </c>
      <c r="X289" s="433" t="s">
        <v>45</v>
      </c>
      <c r="Y289" s="435" t="s">
        <v>45</v>
      </c>
      <c r="Z289" s="507"/>
      <c r="AA289" s="94"/>
      <c r="AB289" s="43"/>
      <c r="AC289">
        <f t="shared" si="48"/>
        <v>82</v>
      </c>
    </row>
    <row r="290" spans="2:29" x14ac:dyDescent="0.35">
      <c r="B290">
        <f t="shared" si="51"/>
        <v>83</v>
      </c>
      <c r="C290" s="23" t="str">
        <f t="shared" si="52"/>
        <v>Vision-language-action VLA  models for autonomous attack drones by Helsing &amp; Mistral AI</v>
      </c>
      <c r="D290" t="s">
        <v>2850</v>
      </c>
      <c r="E290" s="449" t="s">
        <v>45</v>
      </c>
      <c r="G290" s="41"/>
      <c r="H290" s="41"/>
      <c r="I290" s="41"/>
      <c r="J290" s="97"/>
      <c r="K290" s="94"/>
      <c r="L290" s="97"/>
      <c r="M290" s="37"/>
      <c r="N290" s="97"/>
      <c r="O290" s="47"/>
      <c r="P290" s="97"/>
      <c r="Q290" s="47"/>
      <c r="R290" s="29"/>
      <c r="S290" s="29"/>
      <c r="T290" s="47"/>
      <c r="U290" s="47"/>
      <c r="V290" s="97"/>
      <c r="X290" s="433"/>
      <c r="Y290" s="435"/>
      <c r="Z290" s="507"/>
      <c r="AA290" s="94"/>
      <c r="AB290" s="43"/>
      <c r="AC290">
        <f t="shared" si="48"/>
        <v>83</v>
      </c>
    </row>
    <row r="291" spans="2:29" x14ac:dyDescent="0.35">
      <c r="B291">
        <f t="shared" si="51"/>
        <v>84</v>
      </c>
      <c r="C291" s="23" t="str">
        <f t="shared" si="52"/>
        <v>F-11 surveillance drone by Palantir and Flyby Robotics</v>
      </c>
      <c r="D291" t="s">
        <v>1265</v>
      </c>
      <c r="E291" t="s">
        <v>1265</v>
      </c>
      <c r="F291" t="s">
        <v>1265</v>
      </c>
      <c r="G291" s="41"/>
      <c r="H291" s="41" t="s">
        <v>45</v>
      </c>
      <c r="I291" s="41" t="s">
        <v>1763</v>
      </c>
      <c r="J291" s="97" t="s">
        <v>135</v>
      </c>
      <c r="K291" s="94" t="s">
        <v>319</v>
      </c>
      <c r="L291" s="97" t="s">
        <v>292</v>
      </c>
      <c r="M291" s="37" t="s">
        <v>1267</v>
      </c>
      <c r="N291" s="97" t="s">
        <v>292</v>
      </c>
      <c r="O291" s="47" t="s">
        <v>292</v>
      </c>
      <c r="P291" s="97" t="s">
        <v>135</v>
      </c>
      <c r="Q291" s="47" t="s">
        <v>292</v>
      </c>
      <c r="R291" s="109"/>
      <c r="S291" s="109"/>
      <c r="T291" s="47" t="s">
        <v>45</v>
      </c>
      <c r="U291" s="224"/>
      <c r="V291" s="433"/>
      <c r="W291" t="s">
        <v>1086</v>
      </c>
      <c r="X291" s="433" t="s">
        <v>45</v>
      </c>
      <c r="Y291" s="435"/>
      <c r="Z291" s="505"/>
      <c r="AA291" s="434"/>
      <c r="AB291" s="43"/>
      <c r="AC291">
        <f t="shared" si="48"/>
        <v>84</v>
      </c>
    </row>
    <row r="292" spans="2:29" x14ac:dyDescent="0.35">
      <c r="B292">
        <f t="shared" si="51"/>
        <v>85</v>
      </c>
      <c r="C292" s="23" t="str">
        <f t="shared" si="52"/>
        <v>VNav AI imaging matching for navigating in GPS denied areas by Palantir</v>
      </c>
      <c r="D292" s="14" t="s">
        <v>2876</v>
      </c>
      <c r="E292" t="s">
        <v>2876</v>
      </c>
      <c r="F292" t="s">
        <v>45</v>
      </c>
      <c r="G292" s="41"/>
      <c r="H292" s="41"/>
      <c r="I292" s="41"/>
      <c r="J292" s="97"/>
      <c r="K292" s="94"/>
      <c r="L292" s="97"/>
      <c r="M292" s="37"/>
      <c r="N292" s="97"/>
      <c r="O292" s="47"/>
      <c r="P292" s="97"/>
      <c r="Q292" s="47"/>
      <c r="R292" s="109"/>
      <c r="S292" s="109"/>
      <c r="T292" s="47"/>
      <c r="U292" s="224"/>
      <c r="V292" s="433"/>
      <c r="X292" s="433"/>
      <c r="Y292" s="435"/>
      <c r="Z292" s="505"/>
      <c r="AA292" s="434"/>
      <c r="AB292" s="43"/>
      <c r="AC292">
        <f t="shared" si="48"/>
        <v>85</v>
      </c>
    </row>
    <row r="293" spans="2:29" x14ac:dyDescent="0.35">
      <c r="B293">
        <f t="shared" si="51"/>
        <v>86</v>
      </c>
      <c r="C293" s="23" t="str">
        <f t="shared" si="52"/>
        <v>Navigation and target systems by UAV Navigation-Grupo Oesía Spanish company</v>
      </c>
      <c r="D293" s="14" t="s">
        <v>2879</v>
      </c>
      <c r="E293" s="14" t="s">
        <v>2880</v>
      </c>
      <c r="F293" t="s">
        <v>45</v>
      </c>
      <c r="G293" s="41"/>
      <c r="H293" s="41"/>
      <c r="I293" s="41"/>
      <c r="J293" s="97"/>
      <c r="K293" s="94"/>
      <c r="L293" s="97"/>
      <c r="M293" s="37"/>
      <c r="N293" s="97"/>
      <c r="O293" s="47"/>
      <c r="P293" s="97"/>
      <c r="Q293" s="47"/>
      <c r="R293" s="109"/>
      <c r="S293" s="109"/>
      <c r="T293" s="47"/>
      <c r="U293" s="224"/>
      <c r="V293" s="433"/>
      <c r="X293" s="433"/>
      <c r="Y293" s="435"/>
      <c r="Z293" s="505"/>
      <c r="AA293" s="434"/>
      <c r="AB293" s="43"/>
      <c r="AC293">
        <f t="shared" si="48"/>
        <v>86</v>
      </c>
    </row>
    <row r="294" spans="2:29" x14ac:dyDescent="0.35">
      <c r="B294">
        <f t="shared" si="51"/>
        <v>87</v>
      </c>
      <c r="C294" s="23" t="str">
        <f t="shared" ref="C294" si="53">C95</f>
        <v>Ghost surveillance drones by Anduril Industries powered by Lattice AI https://youtu.be/soRPRHypThI?si=QjSNtGJvjjn9Vb4G&amp;t=272</v>
      </c>
      <c r="D294" t="s">
        <v>1719</v>
      </c>
      <c r="E294" s="131" t="s">
        <v>1719</v>
      </c>
      <c r="F294" t="s">
        <v>45</v>
      </c>
      <c r="G294" s="41" t="s">
        <v>45</v>
      </c>
      <c r="H294" s="41" t="s">
        <v>45</v>
      </c>
      <c r="I294" s="131" t="s">
        <v>1796</v>
      </c>
      <c r="J294" s="97" t="s">
        <v>135</v>
      </c>
      <c r="K294" s="94" t="s">
        <v>319</v>
      </c>
      <c r="L294" s="97"/>
      <c r="M294" s="37"/>
      <c r="N294" s="97"/>
      <c r="O294" s="47"/>
      <c r="P294" s="97"/>
      <c r="Q294" s="47"/>
      <c r="R294" s="109"/>
      <c r="S294" s="109"/>
      <c r="T294" s="47" t="s">
        <v>45</v>
      </c>
      <c r="U294" s="224"/>
      <c r="V294" s="433"/>
      <c r="W294" t="s">
        <v>1086</v>
      </c>
      <c r="X294" s="433" t="s">
        <v>45</v>
      </c>
      <c r="Y294" s="435"/>
      <c r="Z294" s="505"/>
      <c r="AA294" s="434"/>
      <c r="AB294" s="43"/>
      <c r="AC294">
        <f t="shared" si="48"/>
        <v>87</v>
      </c>
    </row>
    <row r="295" spans="2:29" ht="15" thickBot="1" x14ac:dyDescent="0.4">
      <c r="B295">
        <f t="shared" si="51"/>
        <v>88</v>
      </c>
      <c r="C295" s="23" t="str">
        <f t="shared" ref="C295:C304" si="54">C96</f>
        <v>ZALA Lancet war drone by Kalashnikov</v>
      </c>
      <c r="D295" t="s">
        <v>1728</v>
      </c>
      <c r="E295" t="s">
        <v>1727</v>
      </c>
      <c r="F295" t="s">
        <v>1728</v>
      </c>
      <c r="G295" t="s">
        <v>1728</v>
      </c>
      <c r="H295" s="41" t="s">
        <v>45</v>
      </c>
      <c r="I295" s="41" t="s">
        <v>1727</v>
      </c>
      <c r="J295" s="97"/>
      <c r="K295" s="94"/>
      <c r="L295" s="97"/>
      <c r="M295" s="37"/>
      <c r="N295" s="97"/>
      <c r="O295" s="47"/>
      <c r="P295" s="97"/>
      <c r="Q295" s="47"/>
      <c r="R295" s="109"/>
      <c r="S295" s="109"/>
      <c r="T295" s="47" t="s">
        <v>45</v>
      </c>
      <c r="U295" s="224"/>
      <c r="V295" s="433"/>
      <c r="W295" t="s">
        <v>1086</v>
      </c>
      <c r="X295" s="433" t="s">
        <v>45</v>
      </c>
      <c r="Y295" s="435"/>
      <c r="Z295" s="505"/>
      <c r="AA295" s="434"/>
      <c r="AB295" s="43"/>
      <c r="AC295">
        <f t="shared" si="48"/>
        <v>88</v>
      </c>
    </row>
    <row r="296" spans="2:29" ht="21.5" thickTop="1" x14ac:dyDescent="0.5">
      <c r="B296">
        <f t="shared" si="51"/>
        <v>89</v>
      </c>
      <c r="C296" s="702" t="str">
        <f t="shared" si="54"/>
        <v>Other AI models that are not any of the above types listed in table</v>
      </c>
      <c r="D296" s="461"/>
      <c r="E296" s="461"/>
      <c r="F296" s="461"/>
      <c r="G296" s="478"/>
      <c r="H296" s="478"/>
      <c r="I296" s="478"/>
      <c r="J296" s="477"/>
      <c r="K296" s="477"/>
      <c r="L296" s="477"/>
      <c r="M296" s="477"/>
      <c r="N296" s="477"/>
      <c r="O296" s="477"/>
      <c r="P296" s="477"/>
      <c r="Q296" s="477" t="s">
        <v>135</v>
      </c>
      <c r="R296" s="477"/>
      <c r="S296" s="477"/>
      <c r="T296" s="477"/>
      <c r="U296" s="477"/>
      <c r="V296" s="477"/>
      <c r="W296" s="476"/>
      <c r="X296" s="477"/>
      <c r="Y296" s="479"/>
      <c r="Z296" s="479"/>
      <c r="AA296" s="477"/>
      <c r="AB296" s="558"/>
      <c r="AC296">
        <f>AC304+1</f>
        <v>91</v>
      </c>
    </row>
    <row r="297" spans="2:29" x14ac:dyDescent="0.35">
      <c r="B297">
        <f t="shared" si="51"/>
        <v>90</v>
      </c>
      <c r="C297" s="23" t="str">
        <f t="shared" si="54"/>
        <v>AlphaGo Zero by Google with 40 days of self-play</v>
      </c>
      <c r="D297" s="131" t="s">
        <v>657</v>
      </c>
      <c r="E297" s="131" t="s">
        <v>657</v>
      </c>
      <c r="F297" s="131" t="s">
        <v>657</v>
      </c>
      <c r="G297" s="131" t="s">
        <v>657</v>
      </c>
      <c r="H297" s="131" t="s">
        <v>45</v>
      </c>
      <c r="I297" s="47" t="s">
        <v>1575</v>
      </c>
      <c r="J297" s="140" t="s">
        <v>655</v>
      </c>
      <c r="K297" t="s">
        <v>667</v>
      </c>
      <c r="L297" s="101" t="s">
        <v>667</v>
      </c>
      <c r="M297" t="s">
        <v>135</v>
      </c>
      <c r="N297" s="101" t="s">
        <v>667</v>
      </c>
      <c r="O297" s="47" t="s">
        <v>135</v>
      </c>
      <c r="P297" s="97" t="s">
        <v>135</v>
      </c>
      <c r="Q297" s="29" t="s">
        <v>135</v>
      </c>
      <c r="R297" s="28" t="s">
        <v>1918</v>
      </c>
      <c r="S297" s="29" t="s">
        <v>45</v>
      </c>
      <c r="T297" s="47" t="s">
        <v>45</v>
      </c>
      <c r="U297" s="15" t="s">
        <v>656</v>
      </c>
      <c r="V297" s="97" t="s">
        <v>45</v>
      </c>
      <c r="W297" s="47" t="s">
        <v>45</v>
      </c>
      <c r="X297" s="101" t="s">
        <v>45</v>
      </c>
      <c r="Y297" t="s">
        <v>45</v>
      </c>
      <c r="Z297" s="140" t="s">
        <v>1350</v>
      </c>
      <c r="AA297" t="s">
        <v>1920</v>
      </c>
      <c r="AB297" s="43"/>
      <c r="AC297">
        <f t="shared" ref="AC297:AC328" si="55">AC296+1</f>
        <v>92</v>
      </c>
    </row>
    <row r="298" spans="2:29" x14ac:dyDescent="0.35">
      <c r="B298">
        <f t="shared" si="51"/>
        <v>91</v>
      </c>
      <c r="C298" s="23" t="str">
        <f t="shared" si="54"/>
        <v>AlphaFold2 by Google (protein structure)</v>
      </c>
      <c r="D298" s="131" t="s">
        <v>659</v>
      </c>
      <c r="E298" s="131" t="s">
        <v>661</v>
      </c>
      <c r="F298" s="201" t="s">
        <v>45</v>
      </c>
      <c r="G298" s="201"/>
      <c r="H298" s="131" t="s">
        <v>45</v>
      </c>
      <c r="I298" s="47" t="s">
        <v>1575</v>
      </c>
      <c r="J298" s="140" t="s">
        <v>659</v>
      </c>
      <c r="K298" s="47" t="s">
        <v>45</v>
      </c>
      <c r="L298" s="140" t="s">
        <v>661</v>
      </c>
      <c r="M298" t="s">
        <v>135</v>
      </c>
      <c r="N298" s="140" t="s">
        <v>662</v>
      </c>
      <c r="O298" s="14" t="s">
        <v>663</v>
      </c>
      <c r="P298" s="97" t="s">
        <v>135</v>
      </c>
      <c r="Q298" s="29" t="s">
        <v>135</v>
      </c>
      <c r="R298" s="29"/>
      <c r="S298" s="29"/>
      <c r="T298" s="47" t="s">
        <v>45</v>
      </c>
      <c r="U298" s="15" t="s">
        <v>666</v>
      </c>
      <c r="V298" s="98" t="s">
        <v>664</v>
      </c>
      <c r="W298" s="15" t="s">
        <v>665</v>
      </c>
      <c r="X298" s="553"/>
      <c r="Y298" s="199"/>
      <c r="Z298" s="101" t="s">
        <v>1350</v>
      </c>
      <c r="AA298" s="47" t="s">
        <v>45</v>
      </c>
      <c r="AB298" s="43"/>
      <c r="AC298">
        <f t="shared" si="55"/>
        <v>93</v>
      </c>
    </row>
    <row r="299" spans="2:29" x14ac:dyDescent="0.35">
      <c r="B299">
        <f t="shared" si="51"/>
        <v>92</v>
      </c>
      <c r="C299" s="23" t="str">
        <f t="shared" si="54"/>
        <v>MatterGen by Microsoft (materials design)</v>
      </c>
      <c r="D299" s="131" t="s">
        <v>2102</v>
      </c>
      <c r="E299" s="131" t="s">
        <v>2102</v>
      </c>
      <c r="F299" s="131" t="s">
        <v>2102</v>
      </c>
      <c r="G299" s="131" t="s">
        <v>2102</v>
      </c>
      <c r="H299" s="131" t="s">
        <v>2102</v>
      </c>
      <c r="I299" s="47" t="s">
        <v>2103</v>
      </c>
      <c r="J299" s="140"/>
      <c r="K299" s="47"/>
      <c r="L299" s="140"/>
      <c r="N299" s="140"/>
      <c r="O299" s="14"/>
      <c r="P299" s="97"/>
      <c r="Q299" s="29"/>
      <c r="R299" s="29"/>
      <c r="S299" s="29"/>
      <c r="T299" s="47"/>
      <c r="U299" s="15" t="s">
        <v>2102</v>
      </c>
      <c r="V299" s="98" t="s">
        <v>45</v>
      </c>
      <c r="W299" s="15"/>
      <c r="X299" s="553"/>
      <c r="Y299" s="199"/>
      <c r="Z299" s="101"/>
      <c r="AA299" s="47"/>
      <c r="AB299" s="43"/>
      <c r="AC299">
        <f t="shared" si="55"/>
        <v>94</v>
      </c>
    </row>
    <row r="300" spans="2:29" x14ac:dyDescent="0.35">
      <c r="B300">
        <f t="shared" si="51"/>
        <v>93</v>
      </c>
      <c r="C300" s="23" t="str">
        <f t="shared" si="54"/>
        <v>TORAX by DeepMind (fusion plasma control simulation)</v>
      </c>
      <c r="D300" s="131" t="s">
        <v>2106</v>
      </c>
      <c r="E300" s="131" t="s">
        <v>2106</v>
      </c>
      <c r="F300" s="131" t="s">
        <v>2106</v>
      </c>
      <c r="G300" s="131" t="s">
        <v>2107</v>
      </c>
      <c r="H300" s="131" t="s">
        <v>2107</v>
      </c>
      <c r="I300" s="47" t="s">
        <v>45</v>
      </c>
      <c r="J300" s="140" t="s">
        <v>2108</v>
      </c>
      <c r="K300" s="47" t="s">
        <v>45</v>
      </c>
      <c r="L300" s="140"/>
      <c r="N300" s="140"/>
      <c r="O300" s="14"/>
      <c r="P300" s="97"/>
      <c r="Q300" s="29"/>
      <c r="R300" s="29"/>
      <c r="S300" s="29"/>
      <c r="T300" s="47"/>
      <c r="U300" s="15"/>
      <c r="V300" s="98"/>
      <c r="W300" s="15"/>
      <c r="X300" s="553"/>
      <c r="Y300" s="199"/>
      <c r="Z300" s="101"/>
      <c r="AA300" s="47"/>
      <c r="AB300" s="43"/>
      <c r="AC300">
        <f t="shared" si="55"/>
        <v>95</v>
      </c>
    </row>
    <row r="301" spans="2:29" x14ac:dyDescent="0.35">
      <c r="B301">
        <f t="shared" si="51"/>
        <v>94</v>
      </c>
      <c r="C301" s="23" t="str">
        <f t="shared" si="54"/>
        <v>USM by Google (speech recognition)</v>
      </c>
      <c r="D301" s="15" t="s">
        <v>636</v>
      </c>
      <c r="E301" s="15" t="s">
        <v>636</v>
      </c>
      <c r="F301" s="15" t="s">
        <v>636</v>
      </c>
      <c r="G301" s="47" t="s">
        <v>996</v>
      </c>
      <c r="H301" s="131" t="s">
        <v>45</v>
      </c>
      <c r="I301" s="47" t="s">
        <v>1575</v>
      </c>
      <c r="J301" s="98" t="s">
        <v>636</v>
      </c>
      <c r="K301" s="29" t="s">
        <v>638</v>
      </c>
      <c r="L301" s="97" t="s">
        <v>638</v>
      </c>
      <c r="M301" t="s">
        <v>135</v>
      </c>
      <c r="N301" s="97" t="s">
        <v>638</v>
      </c>
      <c r="O301" s="29" t="s">
        <v>638</v>
      </c>
      <c r="P301" s="97" t="s">
        <v>638</v>
      </c>
      <c r="Q301" s="29" t="s">
        <v>135</v>
      </c>
      <c r="R301" s="29"/>
      <c r="S301" s="29"/>
      <c r="T301" s="47" t="s">
        <v>45</v>
      </c>
      <c r="U301" s="15" t="s">
        <v>636</v>
      </c>
      <c r="V301" s="97" t="s">
        <v>135</v>
      </c>
      <c r="W301" s="15" t="s">
        <v>644</v>
      </c>
      <c r="X301" s="140" t="s">
        <v>643</v>
      </c>
      <c r="Y301" s="198" t="s">
        <v>45</v>
      </c>
      <c r="Z301" s="503"/>
      <c r="AA301" s="47" t="s">
        <v>45</v>
      </c>
      <c r="AB301" s="43"/>
      <c r="AC301">
        <f t="shared" si="55"/>
        <v>96</v>
      </c>
    </row>
    <row r="302" spans="2:29" x14ac:dyDescent="0.35">
      <c r="B302">
        <f t="shared" si="51"/>
        <v>95</v>
      </c>
      <c r="C302" s="23" t="str">
        <f t="shared" si="54"/>
        <v>Wisper by OpenAI (speech recognition)</v>
      </c>
      <c r="D302" s="15" t="s">
        <v>645</v>
      </c>
      <c r="E302" s="15" t="s">
        <v>645</v>
      </c>
      <c r="F302" s="15" t="s">
        <v>645</v>
      </c>
      <c r="G302" s="47" t="s">
        <v>648</v>
      </c>
      <c r="H302" s="131" t="s">
        <v>45</v>
      </c>
      <c r="I302" s="47" t="s">
        <v>1576</v>
      </c>
      <c r="J302" s="98" t="s">
        <v>646</v>
      </c>
      <c r="K302" s="29" t="s">
        <v>638</v>
      </c>
      <c r="L302" s="97" t="s">
        <v>638</v>
      </c>
      <c r="M302" t="s">
        <v>135</v>
      </c>
      <c r="N302" s="97" t="s">
        <v>638</v>
      </c>
      <c r="O302" s="29" t="s">
        <v>638</v>
      </c>
      <c r="P302" s="97" t="s">
        <v>638</v>
      </c>
      <c r="Q302" s="29" t="s">
        <v>135</v>
      </c>
      <c r="R302" s="29"/>
      <c r="S302" s="29"/>
      <c r="T302" s="47" t="s">
        <v>45</v>
      </c>
      <c r="U302" s="15" t="s">
        <v>646</v>
      </c>
      <c r="V302" s="97" t="s">
        <v>135</v>
      </c>
      <c r="W302" s="47" t="s">
        <v>225</v>
      </c>
      <c r="X302" s="722" t="s">
        <v>45</v>
      </c>
      <c r="Y302" s="198" t="s">
        <v>45</v>
      </c>
      <c r="Z302" s="503"/>
      <c r="AA302" s="47" t="s">
        <v>45</v>
      </c>
      <c r="AB302" s="43"/>
      <c r="AC302">
        <f t="shared" si="55"/>
        <v>97</v>
      </c>
    </row>
    <row r="303" spans="2:29" x14ac:dyDescent="0.35">
      <c r="B303">
        <f t="shared" si="51"/>
        <v>96</v>
      </c>
      <c r="C303" s="23" t="str">
        <f t="shared" si="54"/>
        <v>Nvidia Cosmos world AI model</v>
      </c>
      <c r="D303" t="s">
        <v>1439</v>
      </c>
      <c r="E303" s="14" t="s">
        <v>1438</v>
      </c>
      <c r="F303" t="s">
        <v>1443</v>
      </c>
      <c r="G303" s="35" t="s">
        <v>1443</v>
      </c>
      <c r="H303" s="41" t="s">
        <v>45</v>
      </c>
      <c r="I303" s="41"/>
      <c r="J303" s="97" t="s">
        <v>1442</v>
      </c>
      <c r="K303" s="94" t="s">
        <v>319</v>
      </c>
      <c r="L303" s="97"/>
      <c r="M303" s="37"/>
      <c r="N303" s="97" t="s">
        <v>292</v>
      </c>
      <c r="O303" s="47" t="s">
        <v>292</v>
      </c>
      <c r="P303" s="97" t="s">
        <v>135</v>
      </c>
      <c r="Q303" s="47" t="s">
        <v>292</v>
      </c>
      <c r="R303" s="28" t="s">
        <v>1441</v>
      </c>
      <c r="S303" s="29" t="s">
        <v>45</v>
      </c>
      <c r="T303" s="47" t="s">
        <v>45</v>
      </c>
      <c r="U303" s="15" t="s">
        <v>1441</v>
      </c>
      <c r="V303" s="98" t="s">
        <v>1440</v>
      </c>
      <c r="W303" s="15" t="s">
        <v>1086</v>
      </c>
      <c r="X303" s="433" t="s">
        <v>45</v>
      </c>
      <c r="Y303" s="435" t="s">
        <v>45</v>
      </c>
      <c r="Z303" s="501" t="s">
        <v>1441</v>
      </c>
      <c r="AA303" s="501" t="s">
        <v>1441</v>
      </c>
      <c r="AB303" s="566" t="s">
        <v>1441</v>
      </c>
      <c r="AC303">
        <f>AC295+1</f>
        <v>89</v>
      </c>
    </row>
    <row r="304" spans="2:29" ht="15" thickBot="1" x14ac:dyDescent="0.4">
      <c r="B304">
        <f t="shared" si="51"/>
        <v>97</v>
      </c>
      <c r="C304" s="23" t="str">
        <f t="shared" si="54"/>
        <v>Nvidia Omniverse is a physics based simulation system not an AI model but it is used to create physics based simulations that can be used to feed Nvidia Cosmos AI model that can make the CAD/CAM Omniverse simulations come to life by adding surfaces as they would look in the real world under different light and weather conditions</v>
      </c>
      <c r="E304" s="14" t="s">
        <v>2821</v>
      </c>
      <c r="F304" s="14" t="s">
        <v>2822</v>
      </c>
      <c r="G304" s="35" t="s">
        <v>45</v>
      </c>
      <c r="H304" s="41"/>
      <c r="I304" s="41"/>
      <c r="J304" s="97"/>
      <c r="K304" s="94"/>
      <c r="L304" s="97"/>
      <c r="M304" s="37"/>
      <c r="N304" s="97"/>
      <c r="O304" s="47"/>
      <c r="P304" s="97"/>
      <c r="Q304" s="47"/>
      <c r="R304" s="28"/>
      <c r="S304" s="29"/>
      <c r="T304" s="47"/>
      <c r="U304" s="15"/>
      <c r="V304" s="98"/>
      <c r="W304" s="15"/>
      <c r="X304" s="433"/>
      <c r="Y304" s="435"/>
      <c r="Z304" s="501"/>
      <c r="AA304" s="501"/>
      <c r="AB304" s="566"/>
      <c r="AC304">
        <f>AC303+1</f>
        <v>90</v>
      </c>
    </row>
    <row r="305" spans="2:32" ht="21.5" thickTop="1" x14ac:dyDescent="0.5">
      <c r="B305">
        <f t="shared" si="51"/>
        <v>98</v>
      </c>
      <c r="C305" s="702" t="str">
        <f t="shared" ref="C305:C320" si="56">C106</f>
        <v>Comparing with biological brains</v>
      </c>
      <c r="D305" s="476"/>
      <c r="E305" s="476"/>
      <c r="F305" s="476"/>
      <c r="G305" s="461"/>
      <c r="H305" s="461"/>
      <c r="I305" s="461"/>
      <c r="J305" s="461"/>
      <c r="K305" s="461"/>
      <c r="L305" s="461"/>
      <c r="M305" s="461"/>
      <c r="N305" s="461"/>
      <c r="O305" s="461"/>
      <c r="P305" s="477"/>
      <c r="Q305" s="477"/>
      <c r="R305" s="477"/>
      <c r="S305" s="477"/>
      <c r="T305" s="477"/>
      <c r="U305" s="477"/>
      <c r="V305" s="477"/>
      <c r="W305" s="476"/>
      <c r="X305" s="477"/>
      <c r="Y305" s="477"/>
      <c r="Z305" s="477"/>
      <c r="AA305" s="562"/>
      <c r="AB305" s="558"/>
      <c r="AC305">
        <f>AC302+1</f>
        <v>98</v>
      </c>
    </row>
    <row r="306" spans="2:32" x14ac:dyDescent="0.35">
      <c r="B306">
        <f t="shared" si="51"/>
        <v>99</v>
      </c>
      <c r="C306" s="23" t="str">
        <f t="shared" si="56"/>
        <v>Human brain - Life 2.5</v>
      </c>
      <c r="D306" s="39" t="s">
        <v>143</v>
      </c>
      <c r="E306" s="47" t="s">
        <v>1127</v>
      </c>
      <c r="F306" s="15" t="s">
        <v>211</v>
      </c>
      <c r="G306" s="145" t="s">
        <v>1260</v>
      </c>
      <c r="H306" s="145" t="s">
        <v>45</v>
      </c>
      <c r="I306" s="145" t="s">
        <v>291</v>
      </c>
      <c r="J306" s="101" t="s">
        <v>292</v>
      </c>
      <c r="K306" s="47" t="s">
        <v>319</v>
      </c>
      <c r="L306" s="101" t="s">
        <v>292</v>
      </c>
      <c r="M306" s="626" t="s">
        <v>1052</v>
      </c>
      <c r="N306" s="97" t="s">
        <v>952</v>
      </c>
      <c r="O306" s="158" t="s">
        <v>149</v>
      </c>
      <c r="P306" s="97" t="s">
        <v>135</v>
      </c>
      <c r="Q306" s="145" t="s">
        <v>255</v>
      </c>
      <c r="R306" s="145"/>
      <c r="S306" s="145"/>
      <c r="T306" s="47" t="s">
        <v>205</v>
      </c>
      <c r="U306" s="47" t="s">
        <v>252</v>
      </c>
      <c r="V306" s="97" t="s">
        <v>344</v>
      </c>
      <c r="W306" s="47" t="s">
        <v>291</v>
      </c>
      <c r="X306" s="98" t="s">
        <v>366</v>
      </c>
      <c r="Y306" s="47" t="s">
        <v>369</v>
      </c>
      <c r="Z306" s="97" t="s">
        <v>43</v>
      </c>
      <c r="AA306" s="47" t="s">
        <v>254</v>
      </c>
      <c r="AB306" s="43"/>
      <c r="AC306">
        <f t="shared" si="55"/>
        <v>99</v>
      </c>
    </row>
    <row r="307" spans="2:32" x14ac:dyDescent="0.35">
      <c r="B307">
        <f t="shared" si="51"/>
        <v>100</v>
      </c>
      <c r="C307" s="23" t="str">
        <f t="shared" si="56"/>
        <v>Human forebrain is 20% of all brain by neuron count. To get to parameter count we also need to multiply with average synapsis in forebrain and I could not find that number so just assumed it is the same as average brain at 3000 which may be a wrong number and also dependent on age of human</v>
      </c>
      <c r="D307" s="39" t="s">
        <v>143</v>
      </c>
      <c r="E307" s="47" t="s">
        <v>1127</v>
      </c>
      <c r="F307" s="15" t="s">
        <v>211</v>
      </c>
      <c r="G307" s="145" t="s">
        <v>1260</v>
      </c>
      <c r="H307" s="145" t="s">
        <v>45</v>
      </c>
      <c r="I307" s="145" t="s">
        <v>291</v>
      </c>
      <c r="J307" s="101" t="s">
        <v>292</v>
      </c>
      <c r="K307" s="47" t="s">
        <v>319</v>
      </c>
      <c r="L307" s="101" t="s">
        <v>292</v>
      </c>
      <c r="M307" s="626" t="s">
        <v>1052</v>
      </c>
      <c r="N307" s="97" t="s">
        <v>319</v>
      </c>
      <c r="O307" s="47" t="s">
        <v>135</v>
      </c>
      <c r="P307" s="97" t="s">
        <v>135</v>
      </c>
      <c r="Q307" s="145" t="s">
        <v>255</v>
      </c>
      <c r="R307" s="145"/>
      <c r="S307" s="145"/>
      <c r="T307" s="47" t="s">
        <v>205</v>
      </c>
      <c r="U307" s="47" t="s">
        <v>252</v>
      </c>
      <c r="V307" s="97" t="s">
        <v>344</v>
      </c>
      <c r="W307" s="47" t="s">
        <v>291</v>
      </c>
      <c r="X307" s="98" t="s">
        <v>366</v>
      </c>
      <c r="Y307" s="47" t="s">
        <v>369</v>
      </c>
      <c r="Z307" s="97" t="s">
        <v>43</v>
      </c>
      <c r="AA307" s="47" t="s">
        <v>254</v>
      </c>
      <c r="AB307" s="43"/>
      <c r="AC307">
        <f t="shared" si="55"/>
        <v>100</v>
      </c>
    </row>
    <row r="308" spans="2:32" x14ac:dyDescent="0.35">
      <c r="B308">
        <f t="shared" si="51"/>
        <v>101</v>
      </c>
      <c r="C308" s="23" t="str">
        <f t="shared" si="56"/>
        <v>Chimpanzee 33% of human brain - Life 2.0</v>
      </c>
      <c r="D308" s="39" t="s">
        <v>409</v>
      </c>
      <c r="E308" s="47" t="s">
        <v>1127</v>
      </c>
      <c r="F308" s="15" t="s">
        <v>409</v>
      </c>
      <c r="G308" s="47" t="s">
        <v>18</v>
      </c>
      <c r="H308" s="145" t="s">
        <v>45</v>
      </c>
      <c r="I308" s="145" t="s">
        <v>291</v>
      </c>
      <c r="J308" s="101" t="s">
        <v>292</v>
      </c>
      <c r="K308" s="47" t="s">
        <v>319</v>
      </c>
      <c r="L308" s="101" t="s">
        <v>292</v>
      </c>
      <c r="M308" s="626" t="s">
        <v>1052</v>
      </c>
      <c r="N308" s="97" t="s">
        <v>319</v>
      </c>
      <c r="O308" s="47" t="s">
        <v>135</v>
      </c>
      <c r="P308" s="97" t="s">
        <v>135</v>
      </c>
      <c r="Q308" s="47" t="s">
        <v>18</v>
      </c>
      <c r="R308" s="47" t="s">
        <v>18</v>
      </c>
      <c r="S308" s="47" t="s">
        <v>18</v>
      </c>
      <c r="T308" s="47" t="s">
        <v>205</v>
      </c>
      <c r="U308" s="47" t="s">
        <v>421</v>
      </c>
      <c r="V308" s="97" t="s">
        <v>420</v>
      </c>
      <c r="W308" s="47" t="s">
        <v>291</v>
      </c>
      <c r="X308" s="97" t="s">
        <v>45</v>
      </c>
      <c r="Y308" s="47" t="s">
        <v>45</v>
      </c>
      <c r="Z308" s="97" t="s">
        <v>43</v>
      </c>
      <c r="AA308" s="47" t="s">
        <v>18</v>
      </c>
      <c r="AB308" s="43"/>
      <c r="AC308">
        <f t="shared" si="55"/>
        <v>101</v>
      </c>
    </row>
    <row r="309" spans="2:32" x14ac:dyDescent="0.35">
      <c r="B309">
        <f t="shared" si="51"/>
        <v>102</v>
      </c>
      <c r="C309" s="23" t="str">
        <f t="shared" si="56"/>
        <v>Dog/wolf brain 4.1% of human brain - Life 2.0</v>
      </c>
      <c r="D309" s="39" t="s">
        <v>972</v>
      </c>
      <c r="E309" s="47" t="s">
        <v>1127</v>
      </c>
      <c r="F309" s="15" t="s">
        <v>974</v>
      </c>
      <c r="G309" s="47" t="s">
        <v>18</v>
      </c>
      <c r="H309" s="145" t="s">
        <v>45</v>
      </c>
      <c r="I309" s="145" t="s">
        <v>291</v>
      </c>
      <c r="J309" s="101" t="s">
        <v>292</v>
      </c>
      <c r="K309" s="47" t="s">
        <v>319</v>
      </c>
      <c r="L309" s="101" t="s">
        <v>292</v>
      </c>
      <c r="M309" s="626" t="s">
        <v>1052</v>
      </c>
      <c r="N309" s="97" t="s">
        <v>319</v>
      </c>
      <c r="O309" s="47" t="s">
        <v>135</v>
      </c>
      <c r="P309" s="97" t="s">
        <v>135</v>
      </c>
      <c r="Q309" s="47" t="s">
        <v>18</v>
      </c>
      <c r="R309" s="47" t="s">
        <v>18</v>
      </c>
      <c r="S309" s="47" t="s">
        <v>18</v>
      </c>
      <c r="T309" s="47" t="s">
        <v>205</v>
      </c>
      <c r="U309" s="47" t="s">
        <v>975</v>
      </c>
      <c r="V309" s="97" t="s">
        <v>976</v>
      </c>
      <c r="W309" s="47" t="s">
        <v>291</v>
      </c>
      <c r="X309" s="97" t="s">
        <v>45</v>
      </c>
      <c r="Y309" s="47" t="s">
        <v>45</v>
      </c>
      <c r="Z309" s="97" t="s">
        <v>43</v>
      </c>
      <c r="AA309" s="47" t="s">
        <v>18</v>
      </c>
      <c r="AB309" s="43"/>
      <c r="AC309">
        <f t="shared" si="55"/>
        <v>102</v>
      </c>
    </row>
    <row r="310" spans="2:32" x14ac:dyDescent="0.35">
      <c r="B310">
        <f t="shared" si="51"/>
        <v>103</v>
      </c>
      <c r="C310" s="23" t="str">
        <f t="shared" si="56"/>
        <v>House cat is 1.2% of human brain - Life 2.0</v>
      </c>
      <c r="D310" s="39" t="s">
        <v>1407</v>
      </c>
      <c r="E310" s="47" t="s">
        <v>1127</v>
      </c>
      <c r="F310" s="15" t="s">
        <v>1408</v>
      </c>
      <c r="G310" s="47" t="s">
        <v>18</v>
      </c>
      <c r="H310" s="145" t="s">
        <v>45</v>
      </c>
      <c r="I310" s="145" t="s">
        <v>291</v>
      </c>
      <c r="J310" s="101" t="s">
        <v>292</v>
      </c>
      <c r="K310" s="47" t="s">
        <v>319</v>
      </c>
      <c r="L310" s="101" t="s">
        <v>292</v>
      </c>
      <c r="M310" s="626" t="s">
        <v>1052</v>
      </c>
      <c r="N310" s="97" t="s">
        <v>319</v>
      </c>
      <c r="O310" s="47" t="s">
        <v>135</v>
      </c>
      <c r="P310" s="97" t="s">
        <v>135</v>
      </c>
      <c r="Q310" s="47" t="s">
        <v>18</v>
      </c>
      <c r="R310" s="47" t="s">
        <v>18</v>
      </c>
      <c r="S310" s="47" t="s">
        <v>18</v>
      </c>
      <c r="T310" s="47" t="s">
        <v>205</v>
      </c>
      <c r="U310" s="47" t="s">
        <v>1410</v>
      </c>
      <c r="V310" s="97" t="s">
        <v>1411</v>
      </c>
      <c r="W310" s="47" t="s">
        <v>291</v>
      </c>
      <c r="X310" s="97" t="s">
        <v>45</v>
      </c>
      <c r="Y310" s="47" t="s">
        <v>45</v>
      </c>
      <c r="Z310" s="97" t="s">
        <v>43</v>
      </c>
      <c r="AA310" s="47" t="s">
        <v>18</v>
      </c>
      <c r="AB310" s="43"/>
      <c r="AC310">
        <f t="shared" si="55"/>
        <v>103</v>
      </c>
    </row>
    <row r="311" spans="2:32" x14ac:dyDescent="0.35">
      <c r="B311">
        <f t="shared" si="51"/>
        <v>104</v>
      </c>
      <c r="C311" s="23" t="str">
        <f t="shared" si="56"/>
        <v>Mouse brain 0.08% of human brain - Life 2.0</v>
      </c>
      <c r="D311" s="39" t="s">
        <v>954</v>
      </c>
      <c r="E311" s="47" t="s">
        <v>1127</v>
      </c>
      <c r="F311" s="15" t="s">
        <v>953</v>
      </c>
      <c r="G311" s="47" t="s">
        <v>18</v>
      </c>
      <c r="H311" s="145" t="s">
        <v>45</v>
      </c>
      <c r="I311" s="145" t="s">
        <v>291</v>
      </c>
      <c r="J311" s="101" t="s">
        <v>292</v>
      </c>
      <c r="K311" s="47" t="s">
        <v>319</v>
      </c>
      <c r="L311" s="101" t="s">
        <v>1304</v>
      </c>
      <c r="M311" s="626" t="s">
        <v>1052</v>
      </c>
      <c r="N311" s="97" t="s">
        <v>319</v>
      </c>
      <c r="O311" s="47" t="s">
        <v>135</v>
      </c>
      <c r="P311" s="97" t="s">
        <v>135</v>
      </c>
      <c r="Q311" s="47" t="s">
        <v>18</v>
      </c>
      <c r="R311" s="47" t="s">
        <v>18</v>
      </c>
      <c r="S311" s="47" t="s">
        <v>18</v>
      </c>
      <c r="T311" s="47" t="s">
        <v>205</v>
      </c>
      <c r="U311" s="47" t="s">
        <v>1353</v>
      </c>
      <c r="V311" s="97"/>
      <c r="W311" s="47" t="s">
        <v>291</v>
      </c>
      <c r="X311" s="97" t="s">
        <v>45</v>
      </c>
      <c r="Y311" s="47" t="s">
        <v>45</v>
      </c>
      <c r="Z311" s="97" t="s">
        <v>43</v>
      </c>
      <c r="AA311" s="47" t="s">
        <v>18</v>
      </c>
      <c r="AB311" s="43"/>
      <c r="AC311">
        <f t="shared" si="55"/>
        <v>104</v>
      </c>
    </row>
    <row r="312" spans="2:32" x14ac:dyDescent="0.35">
      <c r="B312">
        <f t="shared" si="51"/>
        <v>105</v>
      </c>
      <c r="C312" s="23" t="str">
        <f t="shared" si="56"/>
        <v>African elephant total brain 299% of human brain - Life 2.0</v>
      </c>
      <c r="D312" s="39" t="s">
        <v>1124</v>
      </c>
      <c r="E312" s="47" t="s">
        <v>1127</v>
      </c>
      <c r="F312" s="15" t="s">
        <v>1128</v>
      </c>
      <c r="G312" s="47" t="s">
        <v>18</v>
      </c>
      <c r="H312" s="145" t="s">
        <v>45</v>
      </c>
      <c r="I312" s="145" t="s">
        <v>291</v>
      </c>
      <c r="J312" s="101" t="s">
        <v>292</v>
      </c>
      <c r="K312" s="47" t="s">
        <v>319</v>
      </c>
      <c r="L312" s="101" t="s">
        <v>292</v>
      </c>
      <c r="M312" s="626" t="s">
        <v>1052</v>
      </c>
      <c r="N312" s="97" t="s">
        <v>319</v>
      </c>
      <c r="O312" s="47" t="s">
        <v>135</v>
      </c>
      <c r="P312" s="97" t="s">
        <v>135</v>
      </c>
      <c r="Q312" s="47" t="s">
        <v>18</v>
      </c>
      <c r="R312" s="47" t="s">
        <v>18</v>
      </c>
      <c r="S312" s="47" t="s">
        <v>18</v>
      </c>
      <c r="T312" s="47" t="s">
        <v>205</v>
      </c>
      <c r="U312" s="47" t="s">
        <v>1354</v>
      </c>
      <c r="V312" s="97"/>
      <c r="W312" s="47" t="s">
        <v>291</v>
      </c>
      <c r="X312" s="97" t="s">
        <v>45</v>
      </c>
      <c r="Y312" s="47" t="s">
        <v>45</v>
      </c>
      <c r="Z312" s="97" t="s">
        <v>43</v>
      </c>
      <c r="AA312" s="47" t="s">
        <v>18</v>
      </c>
      <c r="AB312" s="43"/>
      <c r="AC312">
        <f t="shared" si="55"/>
        <v>105</v>
      </c>
    </row>
    <row r="313" spans="2:32" x14ac:dyDescent="0.35">
      <c r="B313">
        <f t="shared" si="51"/>
        <v>106</v>
      </c>
      <c r="C313" s="23" t="str">
        <f t="shared" si="56"/>
        <v>African elephant forebrain only 6.5% of human brain</v>
      </c>
      <c r="D313" s="39" t="s">
        <v>1124</v>
      </c>
      <c r="E313" s="47" t="s">
        <v>1127</v>
      </c>
      <c r="F313" s="15" t="s">
        <v>1128</v>
      </c>
      <c r="G313" s="47" t="s">
        <v>18</v>
      </c>
      <c r="H313" s="145" t="s">
        <v>45</v>
      </c>
      <c r="I313" s="145" t="s">
        <v>291</v>
      </c>
      <c r="J313" s="101" t="s">
        <v>292</v>
      </c>
      <c r="K313" s="47" t="s">
        <v>319</v>
      </c>
      <c r="L313" s="101" t="s">
        <v>292</v>
      </c>
      <c r="M313" s="626" t="s">
        <v>1052</v>
      </c>
      <c r="N313" s="97" t="s">
        <v>319</v>
      </c>
      <c r="O313" s="47" t="s">
        <v>135</v>
      </c>
      <c r="P313" s="97" t="s">
        <v>135</v>
      </c>
      <c r="Q313" s="47" t="s">
        <v>18</v>
      </c>
      <c r="R313" s="47" t="s">
        <v>18</v>
      </c>
      <c r="S313" s="47" t="s">
        <v>18</v>
      </c>
      <c r="T313" s="47" t="s">
        <v>205</v>
      </c>
      <c r="U313" s="47" t="s">
        <v>1354</v>
      </c>
      <c r="V313" s="97"/>
      <c r="W313" s="47" t="s">
        <v>291</v>
      </c>
      <c r="X313" s="97" t="s">
        <v>45</v>
      </c>
      <c r="Y313" s="47" t="s">
        <v>45</v>
      </c>
      <c r="Z313" s="97" t="s">
        <v>43</v>
      </c>
      <c r="AA313" s="47" t="s">
        <v>18</v>
      </c>
      <c r="AB313" s="43"/>
      <c r="AC313">
        <f t="shared" si="55"/>
        <v>106</v>
      </c>
    </row>
    <row r="314" spans="2:32" x14ac:dyDescent="0.35">
      <c r="B314">
        <f t="shared" si="51"/>
        <v>107</v>
      </c>
      <c r="C314" s="23" t="str">
        <f t="shared" si="56"/>
        <v>Short-finned pilot whale total brain 149% of human brain - Life 2.0</v>
      </c>
      <c r="D314" s="39" t="s">
        <v>1688</v>
      </c>
      <c r="E314" s="47" t="s">
        <v>1127</v>
      </c>
      <c r="F314" s="15" t="s">
        <v>1688</v>
      </c>
      <c r="G314" s="47" t="s">
        <v>18</v>
      </c>
      <c r="H314" s="145" t="s">
        <v>45</v>
      </c>
      <c r="I314" s="145" t="s">
        <v>291</v>
      </c>
      <c r="J314" s="101" t="s">
        <v>292</v>
      </c>
      <c r="K314" s="47" t="s">
        <v>319</v>
      </c>
      <c r="L314" s="101" t="s">
        <v>292</v>
      </c>
      <c r="M314" s="626" t="s">
        <v>1052</v>
      </c>
      <c r="N314" s="97" t="s">
        <v>319</v>
      </c>
      <c r="O314" s="47" t="s">
        <v>135</v>
      </c>
      <c r="P314" s="97" t="s">
        <v>135</v>
      </c>
      <c r="Q314" s="47" t="s">
        <v>18</v>
      </c>
      <c r="R314" s="47" t="s">
        <v>18</v>
      </c>
      <c r="S314" s="47" t="s">
        <v>18</v>
      </c>
      <c r="T314" s="47" t="s">
        <v>205</v>
      </c>
      <c r="U314" s="47" t="s">
        <v>1354</v>
      </c>
      <c r="V314" s="97"/>
      <c r="W314" s="47" t="s">
        <v>291</v>
      </c>
      <c r="X314" s="97" t="s">
        <v>45</v>
      </c>
      <c r="Y314" s="47" t="s">
        <v>45</v>
      </c>
      <c r="Z314" s="97" t="s">
        <v>43</v>
      </c>
      <c r="AA314" s="47" t="s">
        <v>18</v>
      </c>
      <c r="AB314" s="43"/>
      <c r="AC314">
        <f t="shared" si="55"/>
        <v>107</v>
      </c>
    </row>
    <row r="315" spans="2:32" x14ac:dyDescent="0.35">
      <c r="B315">
        <f t="shared" si="51"/>
        <v>108</v>
      </c>
      <c r="C315" s="23" t="str">
        <f t="shared" si="56"/>
        <v>Long-finned pilot whale forebrain only 43% of human brain</v>
      </c>
      <c r="D315" s="39" t="s">
        <v>1688</v>
      </c>
      <c r="E315" s="47" t="s">
        <v>1127</v>
      </c>
      <c r="F315" s="15" t="s">
        <v>1688</v>
      </c>
      <c r="G315" s="47" t="s">
        <v>18</v>
      </c>
      <c r="H315" s="145" t="s">
        <v>45</v>
      </c>
      <c r="I315" s="145" t="s">
        <v>291</v>
      </c>
      <c r="J315" s="101" t="s">
        <v>292</v>
      </c>
      <c r="K315" s="47" t="s">
        <v>319</v>
      </c>
      <c r="L315" s="101" t="s">
        <v>292</v>
      </c>
      <c r="M315" s="626" t="s">
        <v>1052</v>
      </c>
      <c r="N315" s="97" t="s">
        <v>319</v>
      </c>
      <c r="O315" s="47" t="s">
        <v>135</v>
      </c>
      <c r="P315" s="97" t="s">
        <v>135</v>
      </c>
      <c r="Q315" s="47" t="s">
        <v>18</v>
      </c>
      <c r="R315" s="47" t="s">
        <v>18</v>
      </c>
      <c r="S315" s="47" t="s">
        <v>18</v>
      </c>
      <c r="T315" s="47" t="s">
        <v>205</v>
      </c>
      <c r="U315" s="47" t="s">
        <v>1354</v>
      </c>
      <c r="V315" s="97"/>
      <c r="W315" s="47" t="s">
        <v>291</v>
      </c>
      <c r="X315" s="97" t="s">
        <v>45</v>
      </c>
      <c r="Y315" s="47" t="s">
        <v>45</v>
      </c>
      <c r="Z315" s="97" t="s">
        <v>43</v>
      </c>
      <c r="AA315" s="47" t="s">
        <v>18</v>
      </c>
      <c r="AB315" s="43"/>
      <c r="AC315">
        <f t="shared" si="55"/>
        <v>108</v>
      </c>
    </row>
    <row r="316" spans="2:32" x14ac:dyDescent="0.35">
      <c r="B316">
        <f t="shared" si="51"/>
        <v>109</v>
      </c>
      <c r="C316" s="23" t="str">
        <f t="shared" si="56"/>
        <v>Fruit fly 0.000163% of human brain - Life 1.0</v>
      </c>
      <c r="D316" s="39" t="s">
        <v>1301</v>
      </c>
      <c r="E316" s="47" t="s">
        <v>1813</v>
      </c>
      <c r="F316" s="15" t="s">
        <v>1160</v>
      </c>
      <c r="G316" s="47" t="s">
        <v>18</v>
      </c>
      <c r="H316" s="145" t="s">
        <v>45</v>
      </c>
      <c r="I316" s="145" t="s">
        <v>291</v>
      </c>
      <c r="J316" s="140" t="s">
        <v>1159</v>
      </c>
      <c r="K316" s="47" t="s">
        <v>319</v>
      </c>
      <c r="L316" s="101" t="s">
        <v>1303</v>
      </c>
      <c r="M316" s="626" t="s">
        <v>1052</v>
      </c>
      <c r="N316" s="97" t="s">
        <v>319</v>
      </c>
      <c r="O316" s="47" t="s">
        <v>135</v>
      </c>
      <c r="P316" s="97" t="s">
        <v>135</v>
      </c>
      <c r="Q316" s="47" t="s">
        <v>18</v>
      </c>
      <c r="R316" s="47" t="s">
        <v>18</v>
      </c>
      <c r="S316" s="47" t="s">
        <v>18</v>
      </c>
      <c r="T316" s="47" t="s">
        <v>205</v>
      </c>
      <c r="U316" s="47" t="s">
        <v>1355</v>
      </c>
      <c r="V316" s="97"/>
      <c r="W316" s="47" t="s">
        <v>291</v>
      </c>
      <c r="X316" s="97" t="s">
        <v>45</v>
      </c>
      <c r="Y316" s="47" t="s">
        <v>45</v>
      </c>
      <c r="Z316" s="97" t="s">
        <v>43</v>
      </c>
      <c r="AA316" s="47" t="s">
        <v>18</v>
      </c>
      <c r="AB316" s="43"/>
      <c r="AC316">
        <f t="shared" si="55"/>
        <v>109</v>
      </c>
    </row>
    <row r="317" spans="2:32" ht="15" thickBot="1" x14ac:dyDescent="0.4">
      <c r="B317">
        <f t="shared" si="51"/>
        <v>110</v>
      </c>
      <c r="C317" s="23" t="str">
        <f t="shared" si="56"/>
        <v>Roundworm 0.00000035% of human brain - Life 1.0</v>
      </c>
      <c r="D317" s="39" t="s">
        <v>1693</v>
      </c>
      <c r="E317" s="47" t="s">
        <v>1694</v>
      </c>
      <c r="F317" s="15" t="s">
        <v>45</v>
      </c>
      <c r="G317" s="47" t="s">
        <v>18</v>
      </c>
      <c r="H317" s="145" t="s">
        <v>45</v>
      </c>
      <c r="I317" s="145" t="s">
        <v>291</v>
      </c>
      <c r="J317" s="101" t="s">
        <v>292</v>
      </c>
      <c r="K317" s="47" t="s">
        <v>319</v>
      </c>
      <c r="L317" s="101" t="s">
        <v>1303</v>
      </c>
      <c r="M317" s="626" t="s">
        <v>1052</v>
      </c>
      <c r="N317" s="97" t="s">
        <v>319</v>
      </c>
      <c r="O317" s="47" t="s">
        <v>135</v>
      </c>
      <c r="P317" s="97" t="s">
        <v>135</v>
      </c>
      <c r="Q317" s="47" t="s">
        <v>18</v>
      </c>
      <c r="R317" s="47" t="s">
        <v>18</v>
      </c>
      <c r="S317" s="47" t="s">
        <v>18</v>
      </c>
      <c r="T317" s="47" t="s">
        <v>205</v>
      </c>
      <c r="U317" s="47" t="s">
        <v>1355</v>
      </c>
      <c r="V317" s="97"/>
      <c r="W317" s="47" t="s">
        <v>291</v>
      </c>
      <c r="X317" s="97" t="s">
        <v>45</v>
      </c>
      <c r="Y317" s="47" t="s">
        <v>45</v>
      </c>
      <c r="Z317" s="97" t="s">
        <v>43</v>
      </c>
      <c r="AA317" s="47" t="s">
        <v>18</v>
      </c>
      <c r="AB317" s="43"/>
      <c r="AC317">
        <f t="shared" si="55"/>
        <v>110</v>
      </c>
    </row>
    <row r="318" spans="2:32" ht="21.5" thickTop="1" x14ac:dyDescent="0.5">
      <c r="B318">
        <f t="shared" si="51"/>
        <v>111</v>
      </c>
      <c r="C318" s="702" t="str">
        <f t="shared" si="56"/>
        <v xml:space="preserve">Likely minimum specs for human level AGI capable computer </v>
      </c>
      <c r="D318" s="618"/>
      <c r="E318" s="461"/>
      <c r="F318" s="461"/>
      <c r="G318" s="471"/>
      <c r="H318" s="471"/>
      <c r="I318" s="471"/>
      <c r="J318" s="619"/>
      <c r="K318" s="620"/>
      <c r="L318" s="621"/>
      <c r="M318" s="621"/>
      <c r="N318" s="619"/>
      <c r="O318" s="619"/>
      <c r="P318" s="463"/>
      <c r="Q318" s="471"/>
      <c r="R318" s="621"/>
      <c r="S318" s="471"/>
      <c r="T318" s="462"/>
      <c r="U318" s="462"/>
      <c r="V318" s="622"/>
      <c r="W318" s="463"/>
      <c r="X318" s="463"/>
      <c r="Y318" s="463"/>
      <c r="Z318" s="621"/>
      <c r="AA318" s="623"/>
      <c r="AB318" s="624"/>
      <c r="AC318">
        <f t="shared" si="55"/>
        <v>111</v>
      </c>
      <c r="AE318" s="2"/>
      <c r="AF318" s="12"/>
    </row>
    <row r="319" spans="2:32" x14ac:dyDescent="0.35">
      <c r="B319">
        <f t="shared" si="51"/>
        <v>112</v>
      </c>
      <c r="C319" s="23" t="str">
        <f t="shared" si="56"/>
        <v>Min. AGI inference computer if B100 +40TB HBM is required</v>
      </c>
      <c r="D319" t="s">
        <v>292</v>
      </c>
      <c r="E319" t="s">
        <v>292</v>
      </c>
      <c r="F319" t="s">
        <v>292</v>
      </c>
      <c r="G319" t="s">
        <v>45</v>
      </c>
      <c r="H319" s="145" t="s">
        <v>45</v>
      </c>
      <c r="J319" s="101" t="s">
        <v>292</v>
      </c>
      <c r="K319" t="s">
        <v>292</v>
      </c>
      <c r="L319" s="101" t="s">
        <v>292</v>
      </c>
      <c r="N319" s="101" t="s">
        <v>292</v>
      </c>
      <c r="O319" t="s">
        <v>292</v>
      </c>
      <c r="P319" s="101" t="s">
        <v>292</v>
      </c>
      <c r="Q319" t="s">
        <v>292</v>
      </c>
      <c r="T319" t="s">
        <v>292</v>
      </c>
      <c r="U319" t="s">
        <v>292</v>
      </c>
      <c r="V319" s="101" t="s">
        <v>292</v>
      </c>
      <c r="W319" s="15" t="s">
        <v>1086</v>
      </c>
      <c r="X319" s="101" t="s">
        <v>292</v>
      </c>
      <c r="Y319" t="s">
        <v>292</v>
      </c>
      <c r="Z319" s="101"/>
      <c r="AA319" t="s">
        <v>292</v>
      </c>
      <c r="AB319" s="43"/>
      <c r="AC319">
        <f t="shared" si="55"/>
        <v>112</v>
      </c>
    </row>
    <row r="320" spans="2:32" x14ac:dyDescent="0.35">
      <c r="B320">
        <f t="shared" si="51"/>
        <v>113</v>
      </c>
      <c r="C320" s="23" t="str">
        <f t="shared" si="56"/>
        <v>Min. AGI inference computer if B100 +4TB HBM is required</v>
      </c>
      <c r="D320" t="s">
        <v>292</v>
      </c>
      <c r="E320" t="s">
        <v>292</v>
      </c>
      <c r="F320" t="s">
        <v>292</v>
      </c>
      <c r="G320" t="s">
        <v>45</v>
      </c>
      <c r="H320" s="145" t="s">
        <v>45</v>
      </c>
      <c r="J320" s="101" t="s">
        <v>292</v>
      </c>
      <c r="K320" t="s">
        <v>292</v>
      </c>
      <c r="L320" s="101" t="s">
        <v>292</v>
      </c>
      <c r="N320" s="101" t="s">
        <v>292</v>
      </c>
      <c r="O320" t="s">
        <v>292</v>
      </c>
      <c r="P320" s="101" t="s">
        <v>292</v>
      </c>
      <c r="Q320" t="s">
        <v>292</v>
      </c>
      <c r="T320" t="s">
        <v>292</v>
      </c>
      <c r="U320" t="s">
        <v>292</v>
      </c>
      <c r="V320" s="101" t="s">
        <v>292</v>
      </c>
      <c r="W320" s="15" t="s">
        <v>1756</v>
      </c>
      <c r="X320" s="101" t="s">
        <v>292</v>
      </c>
      <c r="Y320" t="s">
        <v>292</v>
      </c>
      <c r="Z320" s="101"/>
      <c r="AA320" t="s">
        <v>292</v>
      </c>
      <c r="AB320" s="43"/>
      <c r="AC320">
        <f t="shared" si="55"/>
        <v>113</v>
      </c>
    </row>
    <row r="321" spans="2:32" ht="15" thickBot="1" x14ac:dyDescent="0.4">
      <c r="B321">
        <f t="shared" si="51"/>
        <v>114</v>
      </c>
      <c r="C321" s="23" t="str">
        <f t="shared" ref="C321:C322" si="57">C122</f>
        <v>15*4 TB SSD disks doing 7.4GB/s each</v>
      </c>
      <c r="D321" s="15" t="s">
        <v>1077</v>
      </c>
      <c r="E321" s="15" t="s">
        <v>1077</v>
      </c>
      <c r="F321" t="s">
        <v>45</v>
      </c>
      <c r="G321" t="s">
        <v>45</v>
      </c>
      <c r="H321" s="145" t="s">
        <v>45</v>
      </c>
      <c r="J321" s="101" t="s">
        <v>45</v>
      </c>
      <c r="K321" t="s">
        <v>45</v>
      </c>
      <c r="L321" s="98" t="s">
        <v>1077</v>
      </c>
      <c r="M321" t="s">
        <v>45</v>
      </c>
      <c r="N321" s="101" t="s">
        <v>45</v>
      </c>
      <c r="O321" t="s">
        <v>45</v>
      </c>
      <c r="P321" s="101" t="s">
        <v>45</v>
      </c>
      <c r="Q321" t="s">
        <v>292</v>
      </c>
      <c r="T321" t="s">
        <v>45</v>
      </c>
      <c r="U321" t="s">
        <v>45</v>
      </c>
      <c r="V321" s="101" t="s">
        <v>45</v>
      </c>
      <c r="W321" t="s">
        <v>45</v>
      </c>
      <c r="X321" s="101" t="s">
        <v>45</v>
      </c>
      <c r="Y321" t="s">
        <v>45</v>
      </c>
      <c r="Z321" s="101"/>
      <c r="AA321" t="s">
        <v>45</v>
      </c>
      <c r="AB321" s="43"/>
      <c r="AC321">
        <f t="shared" si="55"/>
        <v>114</v>
      </c>
    </row>
    <row r="322" spans="2:32" ht="21.5" thickTop="1" x14ac:dyDescent="0.5">
      <c r="B322">
        <f t="shared" si="51"/>
        <v>115</v>
      </c>
      <c r="C322" s="702" t="str">
        <f t="shared" si="57"/>
        <v>Comparing with some file sizes and YouTube database</v>
      </c>
      <c r="D322" s="618"/>
      <c r="E322" s="461"/>
      <c r="F322" s="461"/>
      <c r="G322" s="471"/>
      <c r="H322" s="471"/>
      <c r="I322" s="471"/>
      <c r="J322" s="619"/>
      <c r="K322" s="620"/>
      <c r="L322" s="621"/>
      <c r="M322" s="621"/>
      <c r="N322" s="619"/>
      <c r="O322" s="619"/>
      <c r="P322" s="463"/>
      <c r="Q322" s="471"/>
      <c r="R322" s="621"/>
      <c r="S322" s="471"/>
      <c r="T322" s="462"/>
      <c r="U322" s="462"/>
      <c r="V322" s="622"/>
      <c r="W322" s="463"/>
      <c r="X322" s="463"/>
      <c r="Y322" s="463"/>
      <c r="Z322" s="621"/>
      <c r="AA322" s="623"/>
      <c r="AB322" s="624"/>
      <c r="AC322">
        <f t="shared" si="55"/>
        <v>115</v>
      </c>
      <c r="AE322" s="2"/>
      <c r="AF322" s="12"/>
    </row>
    <row r="323" spans="2:32" x14ac:dyDescent="0.35">
      <c r="B323">
        <f t="shared" si="51"/>
        <v>116</v>
      </c>
      <c r="C323" s="23" t="str">
        <f t="shared" ref="C323:C328" si="58">C124</f>
        <v>Text file size reading 1 page per min. for 16 years non-stop (28,000 books at 300 pages each)</v>
      </c>
      <c r="D323" s="372"/>
      <c r="E323" s="388"/>
      <c r="F323" s="389"/>
      <c r="G323" s="388"/>
      <c r="H323" s="388"/>
      <c r="I323" s="388"/>
      <c r="J323" s="394"/>
      <c r="K323" s="388" t="s">
        <v>1126</v>
      </c>
      <c r="L323" s="388" t="s">
        <v>1126</v>
      </c>
      <c r="M323" s="372"/>
      <c r="N323" s="390" t="s">
        <v>45</v>
      </c>
      <c r="O323" s="372" t="s">
        <v>45</v>
      </c>
      <c r="P323" s="388" t="s">
        <v>45</v>
      </c>
      <c r="Q323" s="388"/>
      <c r="R323" s="388"/>
      <c r="S323" s="388"/>
      <c r="T323" s="388" t="s">
        <v>45</v>
      </c>
      <c r="U323" s="388" t="s">
        <v>45</v>
      </c>
      <c r="V323" s="388" t="s">
        <v>951</v>
      </c>
      <c r="W323" s="389" t="s">
        <v>45</v>
      </c>
      <c r="X323" s="389" t="s">
        <v>45</v>
      </c>
      <c r="Y323" s="388" t="s">
        <v>45</v>
      </c>
      <c r="Z323" s="388"/>
      <c r="AA323" s="388" t="s">
        <v>45</v>
      </c>
      <c r="AB323" s="560" t="s">
        <v>1886</v>
      </c>
      <c r="AC323">
        <f t="shared" si="55"/>
        <v>116</v>
      </c>
    </row>
    <row r="324" spans="2:32" x14ac:dyDescent="0.35">
      <c r="B324">
        <f t="shared" si="51"/>
        <v>117</v>
      </c>
      <c r="C324" s="23" t="str">
        <f t="shared" si="58"/>
        <v>Audio file size listening 16 years non-stop at 16-bit, 48kHz, non-compressed</v>
      </c>
      <c r="D324" s="372"/>
      <c r="E324" s="388"/>
      <c r="F324" s="389"/>
      <c r="G324" s="388"/>
      <c r="H324" s="388"/>
      <c r="I324" s="388"/>
      <c r="J324" s="394"/>
      <c r="K324" s="388" t="s">
        <v>951</v>
      </c>
      <c r="L324" s="388" t="s">
        <v>951</v>
      </c>
      <c r="M324" s="372"/>
      <c r="N324" s="390" t="s">
        <v>45</v>
      </c>
      <c r="O324" s="372" t="s">
        <v>45</v>
      </c>
      <c r="P324" s="388" t="s">
        <v>45</v>
      </c>
      <c r="Q324" s="388"/>
      <c r="R324" s="388"/>
      <c r="S324" s="388"/>
      <c r="T324" s="388" t="s">
        <v>45</v>
      </c>
      <c r="U324" s="388" t="s">
        <v>45</v>
      </c>
      <c r="V324" s="388" t="s">
        <v>951</v>
      </c>
      <c r="W324" s="389" t="s">
        <v>45</v>
      </c>
      <c r="X324" s="389" t="s">
        <v>45</v>
      </c>
      <c r="Y324" s="388" t="s">
        <v>45</v>
      </c>
      <c r="Z324" s="388"/>
      <c r="AA324" s="388" t="s">
        <v>45</v>
      </c>
      <c r="AB324" s="560" t="s">
        <v>1886</v>
      </c>
      <c r="AC324">
        <f t="shared" si="55"/>
        <v>117</v>
      </c>
    </row>
    <row r="325" spans="2:32" x14ac:dyDescent="0.35">
      <c r="B325">
        <f t="shared" si="51"/>
        <v>118</v>
      </c>
      <c r="C325" s="23" t="str">
        <f t="shared" si="58"/>
        <v xml:space="preserve">Max size of human memory? = Video file size for FHD1080p, 0.1fps for 16 years non-stop, H264 or 50 million FHD images </v>
      </c>
      <c r="D325" s="372"/>
      <c r="E325" s="388"/>
      <c r="F325" s="391"/>
      <c r="G325" s="388"/>
      <c r="H325" s="388"/>
      <c r="I325" s="388"/>
      <c r="J325" s="372"/>
      <c r="K325" s="388" t="s">
        <v>951</v>
      </c>
      <c r="L325" s="388" t="s">
        <v>951</v>
      </c>
      <c r="M325" s="372"/>
      <c r="N325" s="390" t="s">
        <v>45</v>
      </c>
      <c r="O325" s="372" t="s">
        <v>45</v>
      </c>
      <c r="P325" s="388" t="s">
        <v>45</v>
      </c>
      <c r="Q325" s="388"/>
      <c r="R325" s="388"/>
      <c r="S325" s="388"/>
      <c r="T325" s="388" t="s">
        <v>45</v>
      </c>
      <c r="U325" s="388" t="s">
        <v>45</v>
      </c>
      <c r="V325" s="388" t="s">
        <v>951</v>
      </c>
      <c r="W325" s="389" t="s">
        <v>45</v>
      </c>
      <c r="X325" s="389" t="s">
        <v>45</v>
      </c>
      <c r="Y325" s="388" t="s">
        <v>45</v>
      </c>
      <c r="Z325" s="388"/>
      <c r="AA325" s="388" t="s">
        <v>45</v>
      </c>
      <c r="AB325" s="560" t="s">
        <v>1886</v>
      </c>
      <c r="AC325">
        <f t="shared" si="55"/>
        <v>118</v>
      </c>
    </row>
    <row r="326" spans="2:32" x14ac:dyDescent="0.35">
      <c r="B326">
        <f t="shared" si="51"/>
        <v>119</v>
      </c>
      <c r="C326" s="23" t="str">
        <f t="shared" si="58"/>
        <v>Video file size for 4k, 60pfs for 16 years nonstop, H265 or 30 billion 4k images, 1 eye</v>
      </c>
      <c r="D326" s="372"/>
      <c r="E326" s="388"/>
      <c r="F326" s="391"/>
      <c r="G326" s="388"/>
      <c r="H326" s="388"/>
      <c r="I326" s="388"/>
      <c r="J326" s="372"/>
      <c r="K326" s="388" t="s">
        <v>951</v>
      </c>
      <c r="L326" s="388" t="s">
        <v>951</v>
      </c>
      <c r="M326" s="372"/>
      <c r="N326" s="390" t="s">
        <v>45</v>
      </c>
      <c r="O326" s="372" t="s">
        <v>45</v>
      </c>
      <c r="P326" s="388" t="s">
        <v>45</v>
      </c>
      <c r="Q326" s="388"/>
      <c r="R326" s="388"/>
      <c r="S326" s="388"/>
      <c r="T326" s="388" t="s">
        <v>45</v>
      </c>
      <c r="U326" s="388" t="s">
        <v>45</v>
      </c>
      <c r="V326" s="388" t="s">
        <v>951</v>
      </c>
      <c r="W326" s="389" t="s">
        <v>45</v>
      </c>
      <c r="X326" s="389" t="s">
        <v>45</v>
      </c>
      <c r="Y326" s="388" t="s">
        <v>45</v>
      </c>
      <c r="Z326" s="388"/>
      <c r="AA326" s="388" t="s">
        <v>45</v>
      </c>
      <c r="AB326" s="560" t="s">
        <v>1886</v>
      </c>
      <c r="AC326">
        <f t="shared" si="55"/>
        <v>119</v>
      </c>
    </row>
    <row r="327" spans="2:32" x14ac:dyDescent="0.35">
      <c r="B327">
        <f t="shared" si="51"/>
        <v>120</v>
      </c>
      <c r="C327" s="23" t="str">
        <f t="shared" si="58"/>
        <v>Max human brain sensory input in GB/s for 16 years from 2 eyes + sensory nerves and metabolic processes &gt;VERY CRUDE ESTIMATE&lt; Likely too high.</v>
      </c>
      <c r="D327" s="372"/>
      <c r="E327" s="388"/>
      <c r="F327" s="391"/>
      <c r="G327" s="388"/>
      <c r="H327" s="388"/>
      <c r="I327" s="388"/>
      <c r="J327" s="372"/>
      <c r="K327" s="388" t="s">
        <v>1115</v>
      </c>
      <c r="L327" s="388" t="s">
        <v>1115</v>
      </c>
      <c r="M327" s="372"/>
      <c r="N327" s="390"/>
      <c r="O327" s="372"/>
      <c r="P327" s="388"/>
      <c r="Q327" s="388"/>
      <c r="R327" s="388"/>
      <c r="S327" s="388"/>
      <c r="T327" s="388"/>
      <c r="U327" s="388"/>
      <c r="V327" s="388"/>
      <c r="W327" s="389"/>
      <c r="X327" s="389"/>
      <c r="Y327" s="388"/>
      <c r="Z327" s="388"/>
      <c r="AA327" s="388"/>
      <c r="AB327" s="560" t="s">
        <v>1886</v>
      </c>
      <c r="AC327">
        <f t="shared" si="55"/>
        <v>120</v>
      </c>
    </row>
    <row r="328" spans="2:32" ht="15" thickBot="1" x14ac:dyDescent="0.4">
      <c r="B328">
        <f t="shared" si="51"/>
        <v>121</v>
      </c>
      <c r="C328" s="27" t="str">
        <f t="shared" si="58"/>
        <v>YouTube data storage in 2024</v>
      </c>
      <c r="D328" s="392" t="s">
        <v>1416</v>
      </c>
      <c r="E328" s="395" t="s">
        <v>1127</v>
      </c>
      <c r="F328" s="396" t="s">
        <v>1416</v>
      </c>
      <c r="G328" s="395" t="s">
        <v>45</v>
      </c>
      <c r="H328" s="395"/>
      <c r="I328" s="395"/>
      <c r="J328" s="392"/>
      <c r="K328" s="396" t="s">
        <v>1417</v>
      </c>
      <c r="L328" s="395" t="s">
        <v>45</v>
      </c>
      <c r="M328" s="392"/>
      <c r="N328" s="397"/>
      <c r="O328" s="392"/>
      <c r="P328" s="395"/>
      <c r="Q328" s="395"/>
      <c r="R328" s="395"/>
      <c r="S328" s="395"/>
      <c r="T328" s="395"/>
      <c r="U328" s="395"/>
      <c r="V328" s="395" t="s">
        <v>1417</v>
      </c>
      <c r="W328" s="398" t="s">
        <v>45</v>
      </c>
      <c r="X328" s="398"/>
      <c r="Y328" s="395"/>
      <c r="Z328" s="395"/>
      <c r="AA328" s="395"/>
      <c r="AB328" s="561" t="s">
        <v>45</v>
      </c>
      <c r="AC328">
        <f t="shared" si="55"/>
        <v>121</v>
      </c>
    </row>
    <row r="329" spans="2:32" ht="15" thickTop="1" x14ac:dyDescent="0.35">
      <c r="AB329" s="32"/>
    </row>
  </sheetData>
  <phoneticPr fontId="4" type="noConversion"/>
  <hyperlinks>
    <hyperlink ref="J213" r:id="rId1" xr:uid="{19A253E8-D28E-4723-9A5D-19B7CA8B04E5}"/>
    <hyperlink ref="T215" r:id="rId2" xr:uid="{67C830EA-6008-421B-9C8C-5332CA45CAFC}"/>
    <hyperlink ref="T213" r:id="rId3" xr:uid="{C6436A3D-EB14-4AF2-8DD4-1753993D96BD}"/>
    <hyperlink ref="D215" r:id="rId4" xr:uid="{9746A3ED-60B9-4474-9CEF-5FC9B8490517}"/>
    <hyperlink ref="D213" r:id="rId5" location="GPT-3.5" xr:uid="{1841C314-8DD5-4071-81B9-D0C5C0F12F9D}"/>
    <hyperlink ref="E215" r:id="rId6" display="https://en.wikipedia.org/wiki/GPT-4" xr:uid="{39308322-11A9-42D1-8687-22840A11CAF9}"/>
    <hyperlink ref="E213" r:id="rId7" location="GPT-3.5" display="https://en.wikipedia.org/wiki/GPT-3#GPT-3.5" xr:uid="{CD60BB31-F8F8-4777-AB08-D147E927B162}"/>
    <hyperlink ref="AK16" r:id="rId8" xr:uid="{A2E0BAB6-9E2D-482F-AA41-C121B8FC1438}"/>
    <hyperlink ref="J215" r:id="rId9" xr:uid="{FC4F489B-0DAC-44E6-9340-90038A50BCA9}"/>
    <hyperlink ref="U215" r:id="rId10" xr:uid="{3560EBCC-4BB0-462D-826A-B51B77E56ED1}"/>
    <hyperlink ref="N215" r:id="rId11" xr:uid="{D6130DFC-A49C-4AF2-A9B1-08B82F91A61F}"/>
    <hyperlink ref="X215:Y215" r:id="rId12" display="https://the-decoder.com/gpt-4-architecture-datasets-costs-and-more-leaked/" xr:uid="{4B053995-3F5A-41D8-B359-F358D2EB5B15}"/>
    <hyperlink ref="AA215" r:id="rId13" xr:uid="{F15D63C6-02E8-4365-B7F9-C377722FCF17}"/>
    <hyperlink ref="F232" r:id="rId14" xr:uid="{9533BC08-665A-4250-9AC0-A3CB2B0602CF}"/>
    <hyperlink ref="G232" r:id="rId15" xr:uid="{529E062D-B0C2-410B-9C07-84BF4CF3AA50}"/>
    <hyperlink ref="O215" r:id="rId16" xr:uid="{04E9782B-1467-4AF1-8FC6-25097C578350}"/>
    <hyperlink ref="D237" r:id="rId17" xr:uid="{64308AF7-BF49-4352-A83C-2ACEF1969171}"/>
    <hyperlink ref="F244" r:id="rId18" xr:uid="{3472319C-909D-4192-810D-F78728E63AA5}"/>
    <hyperlink ref="G244" r:id="rId19" xr:uid="{A07F9604-FF76-4518-AF88-6B78CFEFAD0C}"/>
    <hyperlink ref="J237" r:id="rId20" xr:uid="{A1802DDE-2D63-4BB2-B0FE-367841692AC7}"/>
    <hyperlink ref="F237" r:id="rId21" xr:uid="{D7DB38F3-C913-409D-922E-163358DD2422}"/>
    <hyperlink ref="F227" r:id="rId22" xr:uid="{2C3F0B7B-79BA-4524-AC4F-3274C5F23152}"/>
    <hyperlink ref="D226" r:id="rId23" xr:uid="{43CB4D7D-0EA7-430F-A057-B3F15275B7BB}"/>
    <hyperlink ref="D227" r:id="rId24" xr:uid="{EFE881E6-B952-41DE-BA48-07AEE541D68D}"/>
    <hyperlink ref="E227" r:id="rId25" xr:uid="{0B894040-6537-4C85-AC51-D7BC6B14BF7D}"/>
    <hyperlink ref="D232" r:id="rId26" xr:uid="{5527BB52-EAC9-47E3-9616-E895906A02E5}"/>
    <hyperlink ref="E232" r:id="rId27" xr:uid="{78CA1EA8-B35D-4D52-B7F4-729BF8F4D6DC}"/>
    <hyperlink ref="Y232" r:id="rId28" xr:uid="{F13D7E64-ED9D-49F8-A6B3-E5BB2D34E3C4}"/>
    <hyperlink ref="U232" r:id="rId29" xr:uid="{2921C1E0-951D-471A-BB39-7D090D44436F}"/>
    <hyperlink ref="D262" r:id="rId30" xr:uid="{9E1BAC2C-6D15-4E8C-BBDB-77B3862188E6}"/>
    <hyperlink ref="F262" r:id="rId31" xr:uid="{8FFB8615-F472-40C0-9D00-EB780705C1A0}"/>
    <hyperlink ref="G262" r:id="rId32" xr:uid="{8A2BB1F2-E804-463C-A2BB-EE1127C4A708}"/>
    <hyperlink ref="J262" r:id="rId33" location="Architecture" xr:uid="{D0676ADA-B99E-4533-9E6E-2614D39CF197}"/>
    <hyperlink ref="D266" r:id="rId34" xr:uid="{9C14AF6C-42B9-4A04-8251-1F71E59B8612}"/>
    <hyperlink ref="F266" r:id="rId35" xr:uid="{79D9A651-E586-47FD-9CFB-EA4101C48ED3}"/>
    <hyperlink ref="G266" r:id="rId36" xr:uid="{89481D5E-12AA-458A-B1B0-EDF34C675D9F}"/>
    <hyperlink ref="J266" r:id="rId37" xr:uid="{3B663A9E-5FCC-48E7-BF5F-DB859710E8A7}"/>
    <hyperlink ref="N262" r:id="rId38" xr:uid="{DBABF1F0-4CE2-44E9-A6E2-E95D7BD8EA60}"/>
    <hyperlink ref="O262" r:id="rId39" xr:uid="{E33187BC-F829-4F1B-9B90-0CA117E19FD5}"/>
    <hyperlink ref="AA266" r:id="rId40" xr:uid="{27DBD027-DEFF-405F-9651-0072C1A79AA3}"/>
    <hyperlink ref="AA262" r:id="rId41" location="Training_procedures" xr:uid="{71F626BC-5BED-46E8-9C60-6BA570D5B12B}"/>
    <hyperlink ref="AA269" r:id="rId42" xr:uid="{B6287125-145F-4665-BC98-BDB5539B03BB}"/>
    <hyperlink ref="D244" r:id="rId43" location=":~:text=Perplexity%20AI%20is%20a%20company%20developing%20an%20AI-based,answers%20to%20complex%20questions%20using%20large%20language%20models." xr:uid="{961745F1-E475-44F6-9E7B-AED1DE97A6D0}"/>
    <hyperlink ref="J244" r:id="rId44" location=":~:text=Perplexity%20AI%20is%20a%20company%20developing%20an%20AI-based,answers%20to%20complex%20questions%20using%20large%20language%20models." xr:uid="{1DD20D82-95C6-4850-92D1-58D4CDE67C26}"/>
    <hyperlink ref="U146" r:id="rId45" xr:uid="{4A6C7A51-AD78-411C-A9CD-AB7009713FA2}"/>
    <hyperlink ref="D306" r:id="rId46" xr:uid="{7D88FDF5-C01B-40EE-B9B4-2432D1E66740}"/>
    <hyperlink ref="N179" r:id="rId47" xr:uid="{B4A85377-5D62-4F50-9963-2BB90FBA2D93}"/>
    <hyperlink ref="N178" r:id="rId48" xr:uid="{73951C16-C955-4DBB-8CF7-645B0AE754EB}"/>
    <hyperlink ref="N181" r:id="rId49" xr:uid="{E81271B7-13F8-4E6D-9C96-D2A279E96AA3}"/>
    <hyperlink ref="N173" r:id="rId50" xr:uid="{232C3634-B1B2-4B7C-923F-442B4BBE5463}"/>
    <hyperlink ref="N170" r:id="rId51" xr:uid="{D0D0F6D4-5798-417E-A9F8-55C3B92A01F0}"/>
    <hyperlink ref="N171" r:id="rId52" xr:uid="{28206CC0-32AF-484B-8889-319D423B2DE7}"/>
    <hyperlink ref="N172" r:id="rId53" xr:uid="{4FE5615D-735C-4AD0-8069-E05102315D3F}"/>
    <hyperlink ref="F306" r:id="rId54" xr:uid="{F5D542F5-8E2D-46B8-900B-EA77CC406CDD}"/>
    <hyperlink ref="K147" r:id="rId55" xr:uid="{4CA49520-4AD0-45EA-88EB-ECBFC8B46741}"/>
    <hyperlink ref="K148" r:id="rId56" xr:uid="{3092A720-48C2-4DFE-A82B-F6F57F04547C}"/>
    <hyperlink ref="K161" r:id="rId57" location="Connectivity" xr:uid="{8B7BA430-9C06-4A9A-AF1B-20F2C51D682A}"/>
    <hyperlink ref="K162" r:id="rId58" location="Connectivity" xr:uid="{C150130C-AE2E-4F5A-9E56-967B6147E1C4}"/>
    <hyperlink ref="K163" r:id="rId59" xr:uid="{3214BE0D-94FE-4B8D-8B16-888D4AE9A6A9}"/>
    <hyperlink ref="O163" r:id="rId60" xr:uid="{7F2007C6-DF1E-4DEA-9F2F-1C0310244213}"/>
    <hyperlink ref="T163" r:id="rId61" xr:uid="{C7524DB2-5561-4E8E-AAE8-AACA2455C8BC}"/>
    <hyperlink ref="O306" r:id="rId62" xr:uid="{BFD1D10D-170D-4423-BDAE-92AA19906DBF}"/>
    <hyperlink ref="N175" r:id="rId63" xr:uid="{DF5E5FDC-86D6-4003-927A-A5D5A355E5BA}"/>
    <hyperlink ref="X306" r:id="rId64" location=":~:text=At%20a%20Glance%201%20Researchers%20created%20a%20high-resolution,of%20specialized%20brain%20regions%20in%20health%20and%20disease." xr:uid="{8C17F1CB-A317-4EA2-81EB-7DF11DAA77E1}"/>
    <hyperlink ref="X225" r:id="rId65" location=":~:text=At%20a%20Glance%201%20Researchers%20created%20a%20high-resolution,of%20specialized%20brain%20regions%20in%20health%20and%20disease." xr:uid="{A0354470-BFD8-4D17-96E8-0BC663226B0D}"/>
    <hyperlink ref="T227" r:id="rId66" xr:uid="{6E62EB37-F69B-4533-AC9C-DE56C75E0457}"/>
    <hyperlink ref="J236" r:id="rId67" xr:uid="{6054DE96-960D-48A3-A3F1-850BED0109EB}"/>
    <hyperlink ref="U236" r:id="rId68" xr:uid="{38AF80CA-1D9D-4EAA-9CA4-1E0BA3959D30}"/>
    <hyperlink ref="E236" r:id="rId69" xr:uid="{8399465C-7FD1-4A42-A576-D888123852E9}"/>
    <hyperlink ref="F236:G236" r:id="rId70" display="https://ai.meta.com/blog/large-language-model-llama-meta-ai/" xr:uid="{1E96104E-E07D-457E-9862-D32145F700F6}"/>
    <hyperlink ref="V236" r:id="rId71" xr:uid="{EEF67922-AFD7-4571-8BBA-544BD8D925E8}"/>
    <hyperlink ref="F308" r:id="rId72" xr:uid="{E97F4E40-EB9B-46A8-873B-4AA4B8A6A90D}"/>
    <hyperlink ref="D308" r:id="rId73" xr:uid="{4B1822F3-17C1-4081-AAF6-8B240E214686}"/>
    <hyperlink ref="K151" r:id="rId74" xr:uid="{594561D2-609D-4AD9-9B72-6145473001C8}"/>
    <hyperlink ref="K149" r:id="rId75" xr:uid="{0CF2FCD8-E0BD-4BE7-8D09-254057235A56}"/>
    <hyperlink ref="D236" r:id="rId76" xr:uid="{1906F9B1-E4BD-4A6D-83CF-86F0E972C1A5}"/>
    <hyperlink ref="T236" r:id="rId77" xr:uid="{2FDD4624-634C-4F9A-9633-6DE5202CBCEB}"/>
    <hyperlink ref="T237" r:id="rId78" xr:uid="{8815BF61-E94F-4DC7-9AE5-F6A1D3AB2F31}"/>
    <hyperlink ref="U237" r:id="rId79" xr:uid="{71C8DDC9-B715-4479-A50C-E0BB8A41F2D4}"/>
    <hyperlink ref="N186" r:id="rId80" xr:uid="{675D51CF-E17B-4FF4-9FD7-8CEA3CC09C83}"/>
    <hyperlink ref="N189" r:id="rId81" xr:uid="{0E8FD1BF-2A82-4468-8076-82D7F0532904}"/>
    <hyperlink ref="N190" r:id="rId82" xr:uid="{072DCF36-2834-4939-8A62-95F1C5695EFF}"/>
    <hyperlink ref="N187" r:id="rId83" xr:uid="{354574E3-8270-4644-A0E5-C19F1E923873}"/>
    <hyperlink ref="D307" r:id="rId84" xr:uid="{D7E7AF6D-149F-40BB-B37B-0498E77EC950}"/>
    <hyperlink ref="K150" r:id="rId85" location="List_of_animal_species_by_forebrain_(cerebrum_or_pallium)_neuron_number" xr:uid="{B2136620-1F1A-402A-A7F3-BB1A6BC2ADED}"/>
    <hyperlink ref="F307" r:id="rId86" xr:uid="{A9A61699-37F5-46A4-89C1-1D0B3587FB65}"/>
    <hyperlink ref="X307" r:id="rId87" location=":~:text=At%20a%20Glance%201%20Researchers%20created%20a%20high-resolution,of%20specialized%20brain%20regions%20in%20health%20and%20disease." xr:uid="{1F56406F-D55E-4731-92AF-982ECB3D2859}"/>
    <hyperlink ref="P165" r:id="rId88" xr:uid="{A516B4AC-0904-4C66-A892-1B82CAE69B2A}"/>
    <hyperlink ref="P167" r:id="rId89" xr:uid="{C2FB8CDE-7036-4A74-BE0A-5EA28E126956}"/>
    <hyperlink ref="K215" r:id="rId90" xr:uid="{76EB7544-DF9B-4D43-88E6-20C3C7548424}"/>
    <hyperlink ref="Y178" r:id="rId91" xr:uid="{0A199445-FD1C-405B-9086-D16418D3FB40}"/>
    <hyperlink ref="J135" r:id="rId92" xr:uid="{C7A2A063-DEBF-4F68-ACBD-06EF75E078E6}"/>
    <hyperlink ref="M196" r:id="rId93" xr:uid="{4916390D-79EB-4CE6-BF3B-9D6A6D7AB934}"/>
    <hyperlink ref="M197" r:id="rId94" xr:uid="{56D63582-379F-4639-91DA-4A15EE073BF4}"/>
    <hyperlink ref="M198" r:id="rId95" xr:uid="{09DD15DB-2730-4A16-80E5-1464D3E0C400}"/>
    <hyperlink ref="AI1" r:id="rId96" xr:uid="{E89A0A76-DFF9-4E27-88F6-8B209B8E8521}"/>
    <hyperlink ref="V269" r:id="rId97" xr:uid="{F61C4E93-F81E-45D2-A9C1-BFA5FDDD44BF}"/>
    <hyperlink ref="D233" r:id="rId98" xr:uid="{6391694B-0159-4E7D-BC1C-DD97B60FEFDC}"/>
    <hyperlink ref="J233" r:id="rId99" xr:uid="{9A1B0224-78E5-40A1-98C7-8BBF8743FBBD}"/>
    <hyperlink ref="E233:F233" r:id="rId100" display="https://en.wikipedia.org/wiki/PaLM" xr:uid="{4D8B7229-64C6-4821-83AD-4BA47307B16D}"/>
    <hyperlink ref="W237" r:id="rId101" xr:uid="{A601D7A1-2F97-43DE-9514-108D61AFF153}"/>
    <hyperlink ref="U233" r:id="rId102" xr:uid="{8ABE8701-B57E-4846-B73B-77544FCD2816}"/>
    <hyperlink ref="J301" r:id="rId103" xr:uid="{C76383C1-C524-4B20-8771-276B207F0D12}"/>
    <hyperlink ref="D301" r:id="rId104" xr:uid="{37874A71-8CDD-4575-A5D5-596054E095CE}"/>
    <hyperlink ref="E301:F301" r:id="rId105" display="https://sites.research.google/usm/" xr:uid="{4FEA09C8-F95C-43B8-80C7-AC173C8E4BC4}"/>
    <hyperlink ref="U301" r:id="rId106" xr:uid="{69799F40-02E5-4A99-8989-3B11D5E8AECD}"/>
    <hyperlink ref="U262" r:id="rId107" xr:uid="{F6042F2B-92D5-48A7-9CDF-9438F570D423}"/>
    <hyperlink ref="U266" r:id="rId108" xr:uid="{651AA0C6-1F3E-4AEB-A4AC-3DAA8BDD06C0}"/>
    <hyperlink ref="V262" r:id="rId109" xr:uid="{3F518556-4CD8-45F6-987D-58FEA65D176F}"/>
    <hyperlink ref="V148" r:id="rId110" xr:uid="{89CDC320-1F2A-4106-8863-94B0ACFB5C57}"/>
    <hyperlink ref="X301" r:id="rId111" xr:uid="{24E0128C-3A37-4B76-B7F7-8DC0FEBCEE4B}"/>
    <hyperlink ref="W301" r:id="rId112" xr:uid="{7076670D-EE7C-41B5-A992-6C363D3466BD}"/>
    <hyperlink ref="D302" r:id="rId113" xr:uid="{7C15085D-3725-4214-81CB-A478E3DD5F07}"/>
    <hyperlink ref="E302:F302" r:id="rId114" display="https://deepgram.com/learn/whisper-issues-smart-formatting" xr:uid="{B7EE745D-34D2-4C41-8B6B-07CE06CE9C05}"/>
    <hyperlink ref="J302" r:id="rId115" xr:uid="{947102FB-DF33-4098-8E77-8480B6A2EE95}"/>
    <hyperlink ref="U302" r:id="rId116" xr:uid="{671193FD-A666-4BA7-AE21-9FAD0FFBB3A5}"/>
    <hyperlink ref="D263" r:id="rId117" xr:uid="{F100D33D-C3B8-481B-99A2-07771FA5158E}"/>
    <hyperlink ref="E263" r:id="rId118" xr:uid="{D85F8508-7679-4723-9B22-D1B4DC167842}"/>
    <hyperlink ref="G263" r:id="rId119" xr:uid="{1FEBCDD5-ED67-4731-A730-47AB143BC711}"/>
    <hyperlink ref="F263" r:id="rId120" xr:uid="{66969D1D-E282-4AD4-8D28-3D22322ACECF}"/>
    <hyperlink ref="J263" r:id="rId121" xr:uid="{29217A44-0096-45D4-8052-CF267C756C9F}"/>
    <hyperlink ref="AA263" r:id="rId122" location="Training_procedures" xr:uid="{532AC74F-0002-4B18-B097-23FC2E6E0F15}"/>
    <hyperlink ref="U263" r:id="rId123" xr:uid="{91949E05-9E2D-4BA6-B33A-7F20DAD883B0}"/>
    <hyperlink ref="V263" r:id="rId124" xr:uid="{87C794D5-94E2-4105-9A78-75ADA284F824}"/>
    <hyperlink ref="J297" r:id="rId125" xr:uid="{8E1BF352-3281-496C-B823-58EDDF7278D0}"/>
    <hyperlink ref="W297" r:id="rId126" display="https://youtu.be/1WOjjgyZPj8?si=f4KA-OE7e2eDaO-h&amp;t=4442" xr:uid="{43BB990F-2A05-4B37-A9C0-7964A06E71C1}"/>
    <hyperlink ref="U297" r:id="rId127" location="LL277-L319" xr:uid="{93E1F399-57CC-4915-93E8-2B79668B4B14}"/>
    <hyperlink ref="D297" r:id="rId128" xr:uid="{2707AEE3-9CA1-4C4D-A3CA-27A85EC3EF25}"/>
    <hyperlink ref="E297" r:id="rId129" xr:uid="{EFC292FC-64B7-4E6B-9B70-49F0CA5C4559}"/>
    <hyperlink ref="G297" r:id="rId130" xr:uid="{6BB6190F-DB63-4A50-B5A3-D7F19EB97640}"/>
    <hyperlink ref="F297" r:id="rId131" xr:uid="{022EC8D1-592A-43D7-98D8-58CF30A52B7E}"/>
    <hyperlink ref="J298" r:id="rId132" xr:uid="{585A496B-A252-45BC-B749-7614B02096BA}"/>
    <hyperlink ref="D298" r:id="rId133" xr:uid="{A32F9F09-AE5F-41CA-AEFF-9CD7259F0C21}"/>
    <hyperlink ref="L298" r:id="rId134" xr:uid="{BC8D72F3-34CF-4661-A225-C44231513659}"/>
    <hyperlink ref="N298:O298" r:id="rId135" display="https://towardsdatascience.com/how-to-deploy-and-interpret-alphafold2-with-minimal-compute-9bf75942c6d7" xr:uid="{F0D92EEA-3318-4E01-A8FA-C0954FEA3878}"/>
    <hyperlink ref="V298" r:id="rId136" location="genetic-databases" xr:uid="{0A8DA481-360B-47AA-B9A9-CD8C866EB4A7}"/>
    <hyperlink ref="W298" r:id="rId137" xr:uid="{1450CB97-DA9E-4A27-BDB4-DE5914898268}"/>
    <hyperlink ref="U298" r:id="rId138" location="Algorithm" xr:uid="{A497BE8F-7757-48DD-8907-94CD9EF59F0F}"/>
    <hyperlink ref="D214" r:id="rId139" xr:uid="{F0197858-3751-4A65-A40A-144231469C66}"/>
    <hyperlink ref="G248" r:id="rId140" xr:uid="{3B5BF390-BC29-49B4-8614-94FEE1192C6A}"/>
    <hyperlink ref="F248" r:id="rId141" xr:uid="{EBCF925C-3F42-4A75-9695-FE8FBFC87D8E}"/>
    <hyperlink ref="D229" r:id="rId142" xr:uid="{152F56A0-1D2F-4C74-9ADA-54300F5D0AC2}"/>
    <hyperlink ref="M174" r:id="rId143" xr:uid="{3F0629B8-A99E-4F50-8937-C5EB7D7ABA5C}"/>
    <hyperlink ref="W139" r:id="rId144" xr:uid="{C4A07A89-5BF4-44B9-AEB9-E63777CC76DC}"/>
    <hyperlink ref="J229" r:id="rId145" xr:uid="{B51E95BB-6E4B-46F1-AFE4-3C3D07FB4322}"/>
    <hyperlink ref="W269" r:id="rId146" display="https://youtu.be/FHhrN-GXrF8?si=SLSweYe6vRFKpDos&amp;t=112" xr:uid="{4534392B-1E60-48C4-9818-1DA6118B78B6}"/>
    <hyperlink ref="W276" r:id="rId147" xr:uid="{77588B1A-6BCB-4825-8B0E-60AC82164217}"/>
    <hyperlink ref="K154" r:id="rId148" xr:uid="{97956E4F-4074-4143-AB1B-B601489CF3AC}"/>
    <hyperlink ref="F311" r:id="rId149" xr:uid="{CC12E839-3E6D-4A03-AAC1-5AB43E6F0483}"/>
    <hyperlink ref="V145" r:id="rId150" xr:uid="{E721718C-C79B-4CEB-8260-1AE21F47AE9E}"/>
    <hyperlink ref="J238" r:id="rId151" location="Llama_7" xr:uid="{669103BA-A461-4539-A7A4-68AEBDDF9177}"/>
    <hyperlink ref="K152" r:id="rId152" location="Forebrain_(cerebrum_or_pallium)_only" xr:uid="{DEEC07AD-5C4E-4FC4-A9B7-10EE86ECAE25}"/>
    <hyperlink ref="D309" r:id="rId153" xr:uid="{C6AF2162-A02F-42CE-9351-313C506A4540}"/>
    <hyperlink ref="N259" r:id="rId154" display="https://x.com/reach_vb/status/1801648142963577103?ref_src=twsrc%5Etfw%7Ctwcamp%5Etweetembed%7Ctwterm%5E1801662289780822100%7Ctwgr%5Ee356aa4e988e30c7664c1990e8512ba9b1bb4980%7Ctwcon%5Es3_&amp;ref_url=https%3A%2F%2Fventurebeat.com%2Fai%2Fnvidias-nemotron-4-340b-model-redefines-synthetic-data-generation-rivals-gpt-4%2F" xr:uid="{B39AFDF1-412D-4CC5-99AA-82D68F43D590}"/>
    <hyperlink ref="K259" r:id="rId155" display="https://x.com/reach_vb/status/1801648142963577103?ref_src=twsrc%5Etfw%7Ctwcamp%5Etweetembed%7Ctwterm%5E1801662289780822100%7Ctwgr%5Ee356aa4e988e30c7664c1990e8512ba9b1bb4980%7Ctwcon%5Es3_&amp;ref_url=https%3A%2F%2Fventurebeat.com%2Fai%2Fnvidias-nemotron-4-340b-model-redefines-synthetic-data-generation-rivals-gpt-4%2F" xr:uid="{FC0C66BE-7F85-4D3C-AA6A-47293B2B8CBE}"/>
    <hyperlink ref="E265" r:id="rId156" xr:uid="{57506DA1-E2FE-4B70-9820-497452B4C860}"/>
    <hyperlink ref="J265" r:id="rId157" xr:uid="{1AF1AB09-7D7D-4C16-ADF5-16AA9234FA7A}"/>
    <hyperlink ref="U265" r:id="rId158" xr:uid="{6D463A9D-E195-41AB-8A64-EC9A341DBCF8}"/>
    <hyperlink ref="E298" r:id="rId159" xr:uid="{8D1130F0-4149-4A4F-A6CE-4827B6F478F2}"/>
    <hyperlink ref="J214" r:id="rId160" xr:uid="{BDAAE580-2E72-472E-8DFC-88FBCFAD4456}"/>
    <hyperlink ref="J227" r:id="rId161" location="Claude" xr:uid="{70E5ECAB-39F1-4E2E-805F-3D79C9D44AC6}"/>
    <hyperlink ref="E244" r:id="rId162" xr:uid="{E8923981-770D-4DB4-9FF5-363727FF4642}"/>
    <hyperlink ref="D321" r:id="rId163" xr:uid="{056B4448-45CD-43FE-A112-8B6F308EF929}"/>
    <hyperlink ref="E321" r:id="rId164" xr:uid="{75C7C3EB-8B8D-4D7E-8C6B-A6CACBAD8511}"/>
    <hyperlink ref="L321" r:id="rId165" xr:uid="{4A740B64-1E4B-420B-8A4C-5CA55A9C4FFC}"/>
    <hyperlink ref="W210" r:id="rId166" xr:uid="{5F3749F1-7C80-4277-A32B-BDFD7ABAE3EE}"/>
    <hyperlink ref="W209" r:id="rId167" display="https://youtu.be/1WOjjgyZPj8?si=f4KA-OE7e2eDaO-h&amp;t=4442" xr:uid="{0F2AFA7B-CA63-48AD-A0B8-518887722499}"/>
    <hyperlink ref="W211" r:id="rId168" xr:uid="{BB5B0DA3-D0D8-4C3A-BBF1-FF8C07EE627B}"/>
    <hyperlink ref="U211" r:id="rId169" location="Training_and_capabilities" xr:uid="{77725BD0-10D0-4FAA-99A1-574DA3F22B7C}"/>
    <hyperlink ref="T211" r:id="rId170" xr:uid="{8CA53FCE-0510-4643-8DE4-43F46F32814D}"/>
    <hyperlink ref="G211" r:id="rId171" xr:uid="{773430D5-B075-4B23-B932-1C9F925C440C}"/>
    <hyperlink ref="F211" r:id="rId172" xr:uid="{13B1DDCF-1370-4023-9317-F18DDB6B7FDD}"/>
    <hyperlink ref="E211" r:id="rId173" display="https://en.wikipedia.org/wiki/GPT-3" xr:uid="{92F818AB-4858-4E4F-8617-FE6F7257051C}"/>
    <hyperlink ref="D211" r:id="rId174" xr:uid="{4DE33468-027B-4599-9127-7B4DFA791B6F}"/>
    <hyperlink ref="E209" r:id="rId175" xr:uid="{69F930A8-398C-4EB2-B013-F43A709FFA3D}"/>
    <hyperlink ref="E210" r:id="rId176" xr:uid="{7C2FD783-6F4E-48B6-BCBF-68B76ECDA936}"/>
    <hyperlink ref="F209" r:id="rId177" xr:uid="{AC67D443-2281-4F80-BD90-8AAC0F34A2E2}"/>
    <hyperlink ref="F210" r:id="rId178" xr:uid="{8158BF94-1981-415C-BB22-44A2C2100678}"/>
    <hyperlink ref="J210" r:id="rId179" xr:uid="{DE3DECD1-4F44-4D75-8D3E-09C68CDFC09A}"/>
    <hyperlink ref="V210" r:id="rId180" location="Performance_and_evaluation" xr:uid="{93AB74B9-898E-44C6-A3B4-858A96D83DC8}"/>
    <hyperlink ref="V209" r:id="rId181" location="Performance_and_evaluation" xr:uid="{FE3B1F86-9FBF-4DE3-9D18-112B9FBF1E6F}"/>
    <hyperlink ref="T216" r:id="rId182" xr:uid="{DA9DAC21-290A-4B71-9547-A13CD8A1919B}"/>
    <hyperlink ref="T218" r:id="rId183" xr:uid="{29F2B2C6-E978-4287-A8B0-4639DE9797ED}"/>
    <hyperlink ref="K155" r:id="rId184" location="Forebrain_(cerebrum_or_pallium)_only" xr:uid="{DF6CD1F6-0F73-47DD-A96C-FDE462DD435C}"/>
    <hyperlink ref="K156" r:id="rId185" location="Forebrain_(cerebrum_or_pallium)_only" xr:uid="{88C2A9A3-984E-4980-BFA7-1E96147BEF2D}"/>
    <hyperlink ref="L162" r:id="rId186" xr:uid="{2AD1F6C8-1F9F-4BFA-A7F2-0E1D2F36860D}"/>
    <hyperlink ref="M195" r:id="rId187" xr:uid="{46C09AC9-C3FC-4472-80B2-CFFC440F7BB0}"/>
    <hyperlink ref="F312" r:id="rId188" location=":~:text=In%202016%2C%20experts%20estimated%20that%20Africa%E2%80%99s%20elephant%20population,Today%2C%20there%20are%20just%20415%2C000%20elephants%20across%20Africa." display="https://www.worldwildlife.org/magazine/issues/winter-2018/articles/the-status-of-african-elephants#:~:text=In%202016%2C%20experts%20estimated%20that%20Africa%E2%80%99s%20elephant%20population,Today%2C%20there%20are%20just%20415%2C000%20elephants%20across%20Africa." xr:uid="{543CF4EC-14CE-4843-AC83-0E69F4D1A1E2}"/>
    <hyperlink ref="AE237" r:id="rId189" display="https://x.com/DrJimFan/status/1681372700881854465?ref_src=twsrc%5Etfw%7Ctwcamp%5Etweetembed%7Ctwterm%5E1681372700881854465%7Ctwgr%5E7249d5e9a5faa88242ea45b35b2543bea19bc1ba%7Ctwcon%5Es1_&amp;ref_url=https%3A%2F%2Fwww.searchenginejournal.com%2Fmeta-and-microsoft-release-llama-2-free-commercial-use-research%2F491963%2F" xr:uid="{A6957C1A-F713-4CB9-B942-A971FED657EE}"/>
    <hyperlink ref="J316" r:id="rId190" xr:uid="{463F4E66-E193-4CDE-BB0C-7058CCEA8EC5}"/>
    <hyperlink ref="Q225" r:id="rId191" xr:uid="{EB0B5CB7-417E-40A1-99CE-295B3A7EB80D}"/>
    <hyperlink ref="AE92" r:id="rId192" xr:uid="{830C2F80-1F62-46F5-AA35-54AF38B16FA0}"/>
    <hyperlink ref="R211" r:id="rId193" xr:uid="{886893A9-8AF4-4EFA-B2E6-878E5D7E68A8}"/>
    <hyperlink ref="R262" r:id="rId194" xr:uid="{1518670F-189A-4184-927D-900836B85EF9}"/>
    <hyperlink ref="AE70" r:id="rId195" xr:uid="{4449CCDF-1B25-4B92-99B4-72112BFDEBF4}"/>
    <hyperlink ref="AE71" r:id="rId196" xr:uid="{645CB8D6-C4A0-4063-9C9B-2C257C46D0CF}"/>
    <hyperlink ref="AE80" r:id="rId197" xr:uid="{2B602329-DA24-4DD0-B1C0-CEA2689F4911}"/>
    <hyperlink ref="AF80" r:id="rId198" xr:uid="{776113CB-FBF7-4B34-B6CF-717EB0FA7071}"/>
    <hyperlink ref="AF81" r:id="rId199" xr:uid="{B28A49A2-7BDD-48B1-A43C-C20708AAC57D}"/>
    <hyperlink ref="AE81" r:id="rId200" xr:uid="{5CEA86D4-EB5C-4A6E-89D1-EE8A9A902CE6}"/>
    <hyperlink ref="D316" r:id="rId201" xr:uid="{348E13B5-2A35-46CB-BB9C-3459898E36BC}"/>
    <hyperlink ref="K159" r:id="rId202" xr:uid="{8704E4EA-73B7-4FEB-A307-F86124D69992}"/>
    <hyperlink ref="Y213" r:id="rId203" xr:uid="{8AF28319-371C-4B6A-BEB7-F5173C8C1CD6}"/>
    <hyperlink ref="Y261" r:id="rId204" xr:uid="{55E1ABC0-52B1-45C1-90A9-21906359F674}"/>
    <hyperlink ref="Z209" r:id="rId205" xr:uid="{95823BC2-8628-4125-8114-6F7AEB5E6E21}"/>
    <hyperlink ref="Z238" r:id="rId206" xr:uid="{4EF7B44E-C455-4EB9-BB66-7E886B75B6DD}"/>
    <hyperlink ref="V303" r:id="rId207" xr:uid="{21149521-1701-4DD4-9685-8DC876E8A007}"/>
    <hyperlink ref="U303" r:id="rId208" xr:uid="{9BC10E31-15DA-4C6F-A9EE-01E8F069ADC5}"/>
    <hyperlink ref="G270" r:id="rId209" xr:uid="{E66E0A75-1394-47C3-8176-4FA8E85C7978}"/>
    <hyperlink ref="Z303" r:id="rId210" xr:uid="{C4EA8389-AC85-4F46-A3AC-EEB04BE121D9}"/>
    <hyperlink ref="E303" r:id="rId211" xr:uid="{CC002DCC-A404-485A-9FD3-B6CFB6B3AE4C}"/>
    <hyperlink ref="AE104" r:id="rId212" xr:uid="{D78F763D-1230-4ED0-A762-39BD18C336E5}"/>
    <hyperlink ref="AE68" r:id="rId213" xr:uid="{BB958808-FEDA-4152-A74F-67AAB87AF69D}"/>
    <hyperlink ref="AF68" r:id="rId214" xr:uid="{8DC9D8A8-493B-4438-A31E-4FD65D6571C8}"/>
    <hyperlink ref="AG80" r:id="rId215" xr:uid="{7A2B22A6-7CB5-4F8C-A0CF-11ADCDD148FC}"/>
    <hyperlink ref="Z237" r:id="rId216" xr:uid="{21FD0B48-5740-4D32-B046-088888F40631}"/>
    <hyperlink ref="F229" r:id="rId217" xr:uid="{2AF52882-B3B0-47AE-8DD4-1BB067C68133}"/>
    <hyperlink ref="W215" r:id="rId218" xr:uid="{D1214179-A198-47BA-AA94-1744A9D567A7}"/>
    <hyperlink ref="W213" r:id="rId219" xr:uid="{AA6A0B3A-0720-4D11-9115-C8B1DCC914A9}"/>
    <hyperlink ref="W226" r:id="rId220" xr:uid="{38254FB9-F6B1-454E-B249-8EC7BE02451D}"/>
    <hyperlink ref="W232" r:id="rId221" xr:uid="{E8A2AB2A-AB9B-4778-8874-9EEF2EEF6AF4}"/>
    <hyperlink ref="W244" r:id="rId222" xr:uid="{6A598769-3314-4DDD-93E7-A1D9B02FBE5A}"/>
    <hyperlink ref="W214" r:id="rId223" xr:uid="{28E6CE23-21EA-4960-95BC-4407042BC260}"/>
    <hyperlink ref="W216" r:id="rId224" xr:uid="{89EAE3B6-9F68-4262-B601-4B0D9E6393EB}"/>
    <hyperlink ref="W218" r:id="rId225" xr:uid="{027375D4-D23A-42B7-B4D8-1143DC4C7D5B}"/>
    <hyperlink ref="W228" r:id="rId226" xr:uid="{863D39F7-0F8A-43E5-A5F8-43B4A36E88E5}"/>
    <hyperlink ref="W230" r:id="rId227" xr:uid="{33D9B883-01AD-49BA-A7EC-8F813378C3E1}"/>
    <hyperlink ref="W234" r:id="rId228" display="https://youtu.be/1WOjjgyZPj8?si=f4KA-OE7e2eDaO-h&amp;t=4442" xr:uid="{3053F6CD-845F-481B-9C5A-CBB843CB1DAF}"/>
    <hyperlink ref="W236" r:id="rId229" xr:uid="{28B69A9C-B2D7-4F4A-B546-C5CDFB9E1511}"/>
    <hyperlink ref="W238" r:id="rId230" xr:uid="{DFF302AC-2D3D-4A1E-8013-F60A4A3239AF}"/>
    <hyperlink ref="W239" r:id="rId231" xr:uid="{5475B4B9-17DF-4D7C-AA55-D960EBE06329}"/>
    <hyperlink ref="W248" r:id="rId232" xr:uid="{86BBE7F2-6AAC-4D7C-8B3D-0BA91B72CEF7}"/>
    <hyperlink ref="W249" r:id="rId233" xr:uid="{573F287E-C31B-4588-BD1D-9617EF73F0E4}"/>
    <hyperlink ref="W250" r:id="rId234" xr:uid="{D969089D-5938-487B-BAA0-E25B9F35B0F6}"/>
    <hyperlink ref="W259" r:id="rId235" xr:uid="{EFD89FD4-D82B-4007-A682-1CB7CF169187}"/>
    <hyperlink ref="W261" r:id="rId236" xr:uid="{FA576251-73A3-4FB0-842D-53F96A6A27BE}"/>
    <hyperlink ref="W263" r:id="rId237" xr:uid="{337F3673-0201-49FE-88BC-EA6F8DCF2A85}"/>
    <hyperlink ref="W265" r:id="rId238" xr:uid="{DE30A3DF-0ABB-4CEB-91C8-6F5E1F06C9F0}"/>
    <hyperlink ref="W225" r:id="rId239" xr:uid="{7D3AD772-0E0A-4F26-905F-8914359A5E20}"/>
    <hyperlink ref="W270" r:id="rId240" xr:uid="{7C59841C-DC9F-4FD2-9C80-5B84E66A7DC0}"/>
    <hyperlink ref="W279" r:id="rId241" xr:uid="{7B4C27EC-E4D9-4C83-8B14-9E46479810DE}"/>
    <hyperlink ref="W303" r:id="rId242" xr:uid="{274EF9A0-25D6-4010-8085-A392805D8724}"/>
    <hyperlink ref="W319" r:id="rId243" xr:uid="{D3406176-F40D-40F0-8A56-C284F2B35E2E}"/>
    <hyperlink ref="G218" r:id="rId244" xr:uid="{CD6EC690-14A4-4359-86E4-C2D38A55F199}"/>
    <hyperlink ref="E261" r:id="rId245" xr:uid="{1378EB29-1622-464A-BEA3-305284FD68EA}"/>
    <hyperlink ref="G303" r:id="rId246" xr:uid="{00673304-CDDF-4AB7-AC8D-B4228267D568}"/>
    <hyperlink ref="R303" r:id="rId247" xr:uid="{B25C1F12-9260-405B-81C0-865D18C278A1}"/>
    <hyperlink ref="D253" r:id="rId248" xr:uid="{D138BDBA-40ED-491D-A773-59D68F6F7EDB}"/>
    <hyperlink ref="U259" r:id="rId249" display="https://x.com/reach_vb/status/1801648142963577103?ref_src=twsrc%5Etfw%7Ctwcamp%5Etweetembed%7Ctwterm%5E1801662289780822100%7Ctwgr%5Ee356aa4e988e30c7664c1990e8512ba9b1bb4980%7Ctwcon%5Es3_&amp;ref_url=https%3A%2F%2Fventurebeat.com%2Fai%2Fnvidias-nemotron-4-340b-model-redefines-synthetic-data-generation-rivals-gpt-4%2F" xr:uid="{EDF19C33-0F36-4DE6-B812-5E2A71EAEDF3}"/>
    <hyperlink ref="T259" r:id="rId250" xr:uid="{0C521429-7E27-49FE-9EE4-162111682F3E}"/>
    <hyperlink ref="K158" r:id="rId251" location="Forebrain_(cerebrum_or_pallium)_only" xr:uid="{015280F1-212E-4746-B63B-71439F497E38}"/>
    <hyperlink ref="K157" r:id="rId252" location="Whole_nervous_system" xr:uid="{0EBF779D-239B-4BE5-AF4A-2E6D55505383}"/>
    <hyperlink ref="AE95" r:id="rId253" xr:uid="{2A7AEA91-72C1-44B5-91D3-04A49FDA1A14}"/>
    <hyperlink ref="Z213" r:id="rId254" xr:uid="{EFFC472B-2F76-4EBA-8077-89F947A59B1D}"/>
    <hyperlink ref="AD215" r:id="rId255" xr:uid="{A3B8F993-000D-42F1-9F63-A6845A1370D2}"/>
    <hyperlink ref="T252" r:id="rId256" xr:uid="{FC2DA204-3FD3-4A28-B33B-7F60C380DC53}"/>
    <hyperlink ref="U252" r:id="rId257" xr:uid="{F4DC8479-0BBE-4641-959F-50A46597BD47}"/>
    <hyperlink ref="W251:W252" r:id="rId258" display="https://youtu.be/1WOjjgyZPj8?si=f4KA-OE7e2eDaO-h&amp;t=4440" xr:uid="{AC5C8904-0D12-4452-BCA4-86502295A02E}"/>
    <hyperlink ref="G253" r:id="rId259" xr:uid="{EAA8D5AF-33B8-4686-A8E5-178E7A838047}"/>
    <hyperlink ref="AE106" r:id="rId260" xr:uid="{681F0131-F429-4C77-8F54-132F01515104}"/>
    <hyperlink ref="J218" r:id="rId261" xr:uid="{B7CDAD4F-15B5-4D3D-9909-346B5451C0ED}"/>
    <hyperlink ref="J252" r:id="rId262" xr:uid="{EBB840B8-B073-4DC1-A23C-38E204ABD66C}"/>
    <hyperlink ref="R249" r:id="rId263" xr:uid="{2919F735-860B-4331-8E2A-B7C100582BCE}"/>
    <hyperlink ref="I248" r:id="rId264" xr:uid="{ABBC5B3E-B20D-4CA0-8140-0EFF6C8FA68F}"/>
    <hyperlink ref="Z249" r:id="rId265" xr:uid="{485976A1-0F57-4439-8082-CFE22FEAD39B}"/>
    <hyperlink ref="AA303" r:id="rId266" xr:uid="{6DA8706D-FC91-4716-869B-83CDD0EA0BE8}"/>
    <hyperlink ref="T219" r:id="rId267" xr:uid="{9B303695-862F-47A7-AC72-8580E8AE9ED2}"/>
    <hyperlink ref="W240" r:id="rId268" display="https://youtu.be/1WOjjgyZPj8?si=f4KA-OE7e2eDaO-h&amp;t=4440" xr:uid="{E002F51E-9AE8-4152-A4FC-F61AFF68E18E}"/>
    <hyperlink ref="E294" r:id="rId269" xr:uid="{8201C2CB-2724-446D-BDD9-DCC3831535EE}"/>
    <hyperlink ref="I294" r:id="rId270" xr:uid="{BA7CA051-ACB5-439E-B01F-6652001AA992}"/>
    <hyperlink ref="E289" r:id="rId271" location=":~:text=These%20drones%2C%20each%20of%20which%20weighs%2012%20kg%2C,expected%20to%20scale%20to%2010%2C000%20units%20per%20month." xr:uid="{D682403B-58C9-422B-B6F4-885B00E61B8A}"/>
    <hyperlink ref="AF90" r:id="rId272" xr:uid="{09395676-CBA1-4049-AB6A-2BD456D56802}"/>
    <hyperlink ref="J254" r:id="rId273" xr:uid="{B0EDCD2C-D7FE-4A32-8138-2B45128D5576}"/>
    <hyperlink ref="H216" r:id="rId274" xr:uid="{33D56BC7-9B16-43B6-A73B-7460358149CE}"/>
    <hyperlink ref="AE1" r:id="rId275" xr:uid="{F9B9389F-B3B8-4946-A508-67F335B2752E}"/>
    <hyperlink ref="AA211" r:id="rId276" xr:uid="{E42CABBD-15F1-4983-B193-F8B4E2C73797}"/>
    <hyperlink ref="AA233" r:id="rId277" xr:uid="{61172353-219B-40DE-A67F-CEE247A40CBD}"/>
    <hyperlink ref="R215" r:id="rId278" xr:uid="{A1C18691-6230-4C7A-AF58-7CE58453CF25}"/>
    <hyperlink ref="AE2" r:id="rId279" xr:uid="{2E32C369-E23D-46FE-840C-AEBDA696CE16}"/>
    <hyperlink ref="AE69" r:id="rId280" xr:uid="{AA67210D-BC27-405D-8AA9-C3B3E8B6E592}"/>
    <hyperlink ref="AA268" r:id="rId281" xr:uid="{8BFF9430-A5C9-4472-92D7-D8F49D11C562}"/>
    <hyperlink ref="V268" r:id="rId282" xr:uid="{0EE3AE4C-1BE5-46C5-994B-B843E8D237E2}"/>
    <hyperlink ref="W268" r:id="rId283" display="https://youtu.be/FHhrN-GXrF8?si=SLSweYe6vRFKpDos&amp;t=112" xr:uid="{3A4BEE3A-7F21-4344-94D9-3FE24F11C982}"/>
    <hyperlink ref="D268" r:id="rId284" xr:uid="{06A724D1-F687-41BA-8929-999E60F76CA1}"/>
    <hyperlink ref="J268" r:id="rId285" xr:uid="{2BF1E37E-04AF-4203-BC4F-BF8D890CF8B1}"/>
    <hyperlink ref="AB215" r:id="rId286" xr:uid="{72AA51C4-0ABF-4F76-910D-739FD0C381CA}"/>
    <hyperlink ref="R238" r:id="rId287" xr:uid="{EF174752-ACB6-429A-B262-888DCDDBCC3E}"/>
    <hyperlink ref="Z233" r:id="rId288" xr:uid="{8A9C417B-FBEA-4423-A64F-3A68DA25ED8E}"/>
    <hyperlink ref="R234" r:id="rId289" xr:uid="{62A6F76E-97BB-4122-B04B-A52BE07D3367}"/>
    <hyperlink ref="AB303" r:id="rId290" xr:uid="{4C46C847-6262-432A-BBF4-F431CA95FDF0}"/>
    <hyperlink ref="X268" r:id="rId291" xr:uid="{0D22E391-4E5D-43EB-9983-62D44A992633}"/>
    <hyperlink ref="Z262" r:id="rId292" xr:uid="{3EC914E8-9CC5-4313-B96C-4F5D15225B24}"/>
    <hyperlink ref="E13" r:id="rId293" xr:uid="{EBE66295-3405-4E1A-93C6-0E42E5E9BA81}"/>
    <hyperlink ref="D210" r:id="rId294" xr:uid="{5ADB8AB8-7BA3-45CB-A9BF-DCA4A35769E8}"/>
    <hyperlink ref="Z297" r:id="rId295" xr:uid="{263FE2B0-A8DE-438F-9634-4DBC33E2EA66}"/>
    <hyperlink ref="R297" r:id="rId296" xr:uid="{984CC47D-3CEA-4CD3-8774-B01DE1CE22E5}"/>
    <hyperlink ref="K264" r:id="rId297" location="aioseo-inferencing-with-flux-dev-ai-model" xr:uid="{A5DA15B9-B814-41C5-BDF0-423D619C7D66}"/>
    <hyperlink ref="T234" r:id="rId298" xr:uid="{55031A2F-D930-4239-BCAA-EA480E627005}"/>
    <hyperlink ref="K328" r:id="rId299" xr:uid="{E94C09A2-EFC4-40FE-B179-8DEED10B8198}"/>
    <hyperlink ref="W271" r:id="rId300" display="https://youtu.be/FHhrN-GXrF8?si=SLSweYe6vRFKpDos&amp;t=112" xr:uid="{CED90294-07A1-44C4-AD78-182D06C88B40}"/>
    <hyperlink ref="W273" r:id="rId301" display="https://youtu.be/FHhrN-GXrF8?si=SLSweYe6vRFKpDos&amp;t=112" xr:uid="{367F6DBE-2A6D-4621-9CEA-3392FB52192F}"/>
    <hyperlink ref="I269" r:id="rId302" xr:uid="{8E7F03EA-B137-4DB9-A328-EAA4504879C4}"/>
    <hyperlink ref="D273" r:id="rId303" xr:uid="{08260029-4DA9-4C72-A731-C430A19F64C2}"/>
    <hyperlink ref="W272" r:id="rId304" display="https://youtu.be/FHhrN-GXrF8?si=SLSweYe6vRFKpDos&amp;t=112" xr:uid="{E3F56902-B4D8-423C-B556-7EB99BD6E96A}"/>
    <hyperlink ref="D272" r:id="rId305" xr:uid="{4D2ED8C5-54DE-41B3-AE27-1FE868CC73A4}"/>
    <hyperlink ref="W320" r:id="rId306" display="https://youtu.be/1WOjjgyZPj8?si=f4KA-OE7e2eDaO-h&amp;t=4440" xr:uid="{6B315FF2-F5DB-43C2-AEF5-C4F67793E96E}"/>
    <hyperlink ref="K254" r:id="rId307" xr:uid="{78E5D52D-70D1-462D-929C-674715A0C341}"/>
    <hyperlink ref="K253" r:id="rId308" xr:uid="{3E91DF6E-E036-4F15-B1D1-1D64ECC9E653}"/>
    <hyperlink ref="X234" r:id="rId309" location="Updates" xr:uid="{950162BB-C88A-4C4C-AEA5-ECAF48A8CB21}"/>
    <hyperlink ref="D299" r:id="rId310" xr:uid="{EE2ADE13-9A24-42E6-A00F-19128C461E5E}"/>
    <hyperlink ref="AE82" r:id="rId311" xr:uid="{69BF2B4D-8741-4F88-9783-3DFF8D2579B7}"/>
    <hyperlink ref="AE84" r:id="rId312" xr:uid="{43B2D1A1-3169-403A-89FB-35865F2E030D}"/>
    <hyperlink ref="H219" r:id="rId313" xr:uid="{01D1ACE6-F43D-44E4-9A52-980A5E474804}"/>
    <hyperlink ref="W231" r:id="rId314" display="https://youtu.be/1WOjjgyZPj8?si=f4KA-OE7e2eDaO-h&amp;t=4440" xr:uid="{659A55FD-84DC-4E4D-A64F-6C9E9B6FC094}"/>
    <hyperlink ref="T222" r:id="rId315" xr:uid="{D87DD626-5BB5-425D-A549-1206DC12E893}"/>
    <hyperlink ref="D222" r:id="rId316" xr:uid="{5AEE3225-4E4C-4442-8D01-AF1DB3BCAD2F}"/>
    <hyperlink ref="F275" r:id="rId317" xr:uid="{3946826B-1C1F-46F7-9085-D437907F1CB8}"/>
    <hyperlink ref="U229" r:id="rId318" xr:uid="{C27A0AA2-4960-4488-AF05-FEE5DA8C036C}"/>
    <hyperlink ref="J219" r:id="rId319" xr:uid="{CDD04BDD-85CA-4AE0-A2E7-AC4C1F11C8C9}"/>
    <hyperlink ref="J217" r:id="rId320" xr:uid="{FFE3502E-B0FF-4E7F-9C4F-A5D28BBA5C23}"/>
    <hyperlink ref="AE85" r:id="rId321" xr:uid="{3EDDA8E3-B7B1-4B9A-812E-30ADD37FA085}"/>
    <hyperlink ref="AE22" r:id="rId322" xr:uid="{25E1B761-900C-46D0-B489-DC259585CEA4}"/>
    <hyperlink ref="F304" r:id="rId323" xr:uid="{9D9949FB-AF3F-4858-8CBD-AB4A133A4DA7}"/>
    <hyperlink ref="D285" r:id="rId324" xr:uid="{35B39AE4-7D91-4B13-8293-74315CBC97F3}"/>
    <hyperlink ref="D279" r:id="rId325" location="Generation_2" xr:uid="{B737491B-2030-4521-B0C9-404B3F7364D0}"/>
    <hyperlink ref="E285" r:id="rId326" xr:uid="{C2F3503C-D823-423F-9977-069AF05F1466}"/>
    <hyperlink ref="AF77" r:id="rId327" xr:uid="{00741183-815A-4BA6-B02F-676A50215543}"/>
    <hyperlink ref="AE77" r:id="rId328" xr:uid="{A867AB00-4DB7-4D98-B490-5AF1A43FBE6B}"/>
    <hyperlink ref="D276" r:id="rId329" xr:uid="{25760351-8221-45CB-9B0E-86083E50CA49}"/>
    <hyperlink ref="AE91" r:id="rId330" xr:uid="{1E7D95CA-7F45-4B86-86BD-8DF7ECD17605}"/>
    <hyperlink ref="H218" r:id="rId331" xr:uid="{4D6F5253-A1C0-487E-88CE-AF0C7258FDC7}"/>
    <hyperlink ref="J220" r:id="rId332" xr:uid="{75470322-5493-4B91-91D0-8FFF7AE7DE00}"/>
    <hyperlink ref="D292" r:id="rId333" xr:uid="{DAFC24EE-5598-46A2-B165-864E6D59A9C1}"/>
    <hyperlink ref="E283" r:id="rId334" xr:uid="{FB712FD3-ADF1-4B96-AC37-9783428D124C}"/>
    <hyperlink ref="E293" r:id="rId335" xr:uid="{662007B6-CE23-4FD5-80AF-511D2827D5CC}"/>
    <hyperlink ref="AF84" r:id="rId336" xr:uid="{DACDB6E4-68FB-4458-AC35-4AD2BF594C28}"/>
    <hyperlink ref="D293" r:id="rId337" xr:uid="{61F161FA-6B80-4B7A-B330-EE8286596DDC}"/>
    <hyperlink ref="Z3" r:id="rId338" xr:uid="{B31AFC82-97B3-478D-BA85-A989EFFD23CE}"/>
  </hyperlinks>
  <pageMargins left="0.7" right="0.7" top="0.75" bottom="0.75" header="0.3" footer="0.3"/>
  <pageSetup paperSize="9" orientation="portrait" verticalDpi="0" r:id="rId3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65020-7CCC-40D7-B194-15852D32F572}">
  <dimension ref="A1:I20"/>
  <sheetViews>
    <sheetView zoomScale="120" zoomScaleNormal="120" workbookViewId="0">
      <selection activeCell="E10" sqref="E10"/>
    </sheetView>
  </sheetViews>
  <sheetFormatPr defaultRowHeight="14.5" x14ac:dyDescent="0.35"/>
  <cols>
    <col min="1" max="1" width="3.81640625" customWidth="1"/>
    <col min="2" max="2" width="30.36328125" customWidth="1"/>
    <col min="3" max="3" width="20.90625" customWidth="1"/>
    <col min="4" max="4" width="90.7265625" customWidth="1"/>
    <col min="5" max="5" width="65.6328125" customWidth="1"/>
    <col min="6" max="6" width="59.90625" customWidth="1"/>
    <col min="7" max="7" width="3.1796875" customWidth="1"/>
  </cols>
  <sheetData>
    <row r="1" spans="1:9" ht="28.5" x14ac:dyDescent="0.65">
      <c r="A1" s="9" t="str">
        <f>AI_Models!$A$1</f>
        <v>Path towards AGI &amp; artificial humans - How close are AIs and robotics from being able to do any work that humans can do? #74/101</v>
      </c>
    </row>
    <row r="2" spans="1:9" ht="15.5" x14ac:dyDescent="0.35">
      <c r="A2" s="10" t="str">
        <f>AI_Models!$A$2</f>
        <v>Proprietary. © H. Mathiesen. This material can be used by others free of charge provided that the author H. Mathiesen is attributed and a clickable link is made visible to the location of used material on www.hmexperience.dk</v>
      </c>
    </row>
    <row r="3" spans="1:9" ht="15.5" x14ac:dyDescent="0.35">
      <c r="A3" s="414" t="str">
        <f>AI_Models!A3</f>
        <v>Links to all sources are available in sources table below</v>
      </c>
      <c r="B3" s="415"/>
    </row>
    <row r="5" spans="1:9" ht="24" thickBot="1" x14ac:dyDescent="0.6">
      <c r="B5" s="11" t="s">
        <v>2213</v>
      </c>
      <c r="C5" s="11"/>
    </row>
    <row r="6" spans="1:9" ht="15" thickTop="1" x14ac:dyDescent="0.35">
      <c r="B6" s="18" t="s">
        <v>2159</v>
      </c>
      <c r="C6" s="19" t="s">
        <v>2195</v>
      </c>
      <c r="D6" s="19" t="s">
        <v>1513</v>
      </c>
      <c r="E6" s="19" t="s">
        <v>2285</v>
      </c>
      <c r="F6" s="20" t="s">
        <v>1133</v>
      </c>
      <c r="H6" s="8"/>
    </row>
    <row r="7" spans="1:9" x14ac:dyDescent="0.35">
      <c r="B7" s="21" t="s">
        <v>2161</v>
      </c>
      <c r="C7" s="13" t="s">
        <v>2194</v>
      </c>
      <c r="D7" s="13"/>
      <c r="E7" s="13"/>
      <c r="F7" s="22"/>
      <c r="H7" s="8"/>
    </row>
    <row r="8" spans="1:9" ht="15" thickBot="1" x14ac:dyDescent="0.4">
      <c r="B8" s="427"/>
      <c r="C8" s="328"/>
      <c r="D8" s="173"/>
      <c r="E8" s="13"/>
      <c r="F8" s="182"/>
      <c r="H8" s="8" t="s">
        <v>32</v>
      </c>
    </row>
    <row r="9" spans="1:9" ht="15" thickTop="1" x14ac:dyDescent="0.35">
      <c r="B9" s="23" t="s">
        <v>2197</v>
      </c>
      <c r="C9" t="s">
        <v>2196</v>
      </c>
      <c r="D9" t="s">
        <v>2209</v>
      </c>
      <c r="E9" s="735" t="s">
        <v>1145</v>
      </c>
      <c r="F9" s="53" t="s">
        <v>1134</v>
      </c>
      <c r="G9" t="s">
        <v>45</v>
      </c>
    </row>
    <row r="10" spans="1:9" x14ac:dyDescent="0.35">
      <c r="B10" s="23" t="s">
        <v>2202</v>
      </c>
      <c r="C10" t="s">
        <v>2201</v>
      </c>
      <c r="D10" s="425" t="s">
        <v>2210</v>
      </c>
      <c r="E10" s="132" t="str">
        <f>E9</f>
        <v>Datacenter</v>
      </c>
      <c r="F10" s="428" t="s">
        <v>2192</v>
      </c>
      <c r="G10" t="s">
        <v>45</v>
      </c>
      <c r="H10" s="132"/>
    </row>
    <row r="11" spans="1:9" x14ac:dyDescent="0.35">
      <c r="B11" s="23" t="s">
        <v>2204</v>
      </c>
      <c r="C11" t="s">
        <v>2203</v>
      </c>
      <c r="D11" s="199" t="s">
        <v>2211</v>
      </c>
      <c r="E11" s="132" t="s">
        <v>2163</v>
      </c>
      <c r="F11" s="428" t="s">
        <v>2162</v>
      </c>
      <c r="G11" t="s">
        <v>45</v>
      </c>
      <c r="H11" s="132" t="s">
        <v>1142</v>
      </c>
      <c r="I11" s="132" t="s">
        <v>45</v>
      </c>
    </row>
    <row r="12" spans="1:9" x14ac:dyDescent="0.35">
      <c r="B12" s="23" t="s">
        <v>2207</v>
      </c>
      <c r="C12" t="s">
        <v>2193</v>
      </c>
      <c r="D12" s="199" t="s">
        <v>2212</v>
      </c>
      <c r="E12" s="132" t="s">
        <v>2191</v>
      </c>
      <c r="F12" s="428" t="s">
        <v>1135</v>
      </c>
      <c r="G12" t="s">
        <v>45</v>
      </c>
      <c r="H12" s="132"/>
    </row>
    <row r="13" spans="1:9" x14ac:dyDescent="0.35">
      <c r="B13" s="23" t="s">
        <v>2206</v>
      </c>
      <c r="C13" t="s">
        <v>2208</v>
      </c>
      <c r="D13" s="199" t="s">
        <v>2205</v>
      </c>
      <c r="E13" s="132" t="str">
        <f>E12</f>
        <v>Datacenter + androids?</v>
      </c>
      <c r="F13" s="428" t="s">
        <v>2164</v>
      </c>
      <c r="G13" t="s">
        <v>45</v>
      </c>
      <c r="H13" s="132" t="s">
        <v>1141</v>
      </c>
      <c r="I13" s="132" t="s">
        <v>45</v>
      </c>
    </row>
    <row r="14" spans="1:9" x14ac:dyDescent="0.35">
      <c r="B14" s="517" t="s">
        <v>2342</v>
      </c>
      <c r="C14" s="1" t="s">
        <v>2200</v>
      </c>
      <c r="D14" s="588" t="s">
        <v>2949</v>
      </c>
      <c r="E14" s="725" t="s">
        <v>2214</v>
      </c>
      <c r="F14" s="726" t="s">
        <v>2350</v>
      </c>
      <c r="G14" t="s">
        <v>45</v>
      </c>
      <c r="H14" s="132"/>
      <c r="I14" s="132"/>
    </row>
    <row r="15" spans="1:9" x14ac:dyDescent="0.35">
      <c r="B15" s="517" t="s">
        <v>2343</v>
      </c>
      <c r="C15" s="1" t="s">
        <v>2199</v>
      </c>
      <c r="D15" s="588" t="s">
        <v>2952</v>
      </c>
      <c r="E15" s="725" t="s">
        <v>2286</v>
      </c>
      <c r="F15" s="738" t="s">
        <v>1144</v>
      </c>
      <c r="G15" t="s">
        <v>45</v>
      </c>
      <c r="H15" t="s">
        <v>1143</v>
      </c>
      <c r="I15" s="132"/>
    </row>
    <row r="16" spans="1:9" ht="15" thickBot="1" x14ac:dyDescent="0.4">
      <c r="B16" s="267" t="s">
        <v>2344</v>
      </c>
      <c r="C16" s="175" t="s">
        <v>2198</v>
      </c>
      <c r="D16" s="175" t="s">
        <v>2956</v>
      </c>
      <c r="E16" s="736" t="s">
        <v>2215</v>
      </c>
      <c r="F16" s="737" t="s">
        <v>1144</v>
      </c>
      <c r="G16" t="s">
        <v>45</v>
      </c>
      <c r="H16" t="s">
        <v>1143</v>
      </c>
    </row>
    <row r="17" spans="2:8" ht="15" thickTop="1" x14ac:dyDescent="0.35">
      <c r="B17" t="s">
        <v>1140</v>
      </c>
      <c r="D17" s="199"/>
      <c r="E17" s="8"/>
      <c r="F17" s="8"/>
      <c r="H17" s="8"/>
    </row>
    <row r="18" spans="2:8" x14ac:dyDescent="0.35">
      <c r="B18" s="15" t="s">
        <v>1132</v>
      </c>
      <c r="C18" s="15"/>
      <c r="D18" s="199" t="s">
        <v>2160</v>
      </c>
      <c r="E18" s="8"/>
      <c r="F18" s="8"/>
      <c r="H18" s="8"/>
    </row>
    <row r="19" spans="2:8" x14ac:dyDescent="0.35">
      <c r="B19" s="14" t="s">
        <v>1131</v>
      </c>
      <c r="C19" s="14"/>
      <c r="D19" s="199" t="s">
        <v>45</v>
      </c>
    </row>
    <row r="20" spans="2:8" x14ac:dyDescent="0.35">
      <c r="B20" s="14" t="s">
        <v>2122</v>
      </c>
      <c r="C20" s="14"/>
      <c r="D20" s="199" t="s">
        <v>45</v>
      </c>
    </row>
  </sheetData>
  <hyperlinks>
    <hyperlink ref="B18" r:id="rId1" xr:uid="{D8D7AD78-9922-4D45-9F9A-3A934EDF7218}"/>
    <hyperlink ref="B19" r:id="rId2" xr:uid="{76AD2A7E-5A21-4204-9304-FFA21D64493A}"/>
    <hyperlink ref="B20" r:id="rId3" xr:uid="{1B584073-4B79-4C59-A397-459C517FB62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78DB1-600B-4473-8DAB-4958694D0F60}">
  <dimension ref="A1:N80"/>
  <sheetViews>
    <sheetView zoomScale="120" zoomScaleNormal="120" workbookViewId="0">
      <pane xSplit="3" ySplit="10" topLeftCell="D11" activePane="bottomRight" state="frozen"/>
      <selection pane="topRight" activeCell="D1" sqref="D1"/>
      <selection pane="bottomLeft" activeCell="A11" sqref="A11"/>
      <selection pane="bottomRight" activeCell="B34" sqref="B34"/>
    </sheetView>
  </sheetViews>
  <sheetFormatPr defaultRowHeight="14.5" x14ac:dyDescent="0.35"/>
  <cols>
    <col min="1" max="1" width="4.54296875" customWidth="1"/>
    <col min="2" max="2" width="105.81640625" customWidth="1"/>
    <col min="3" max="3" width="18.08984375" customWidth="1"/>
    <col min="4" max="6" width="34.1796875" customWidth="1"/>
    <col min="7" max="7" width="44" customWidth="1"/>
    <col min="8" max="8" width="3.90625" customWidth="1"/>
    <col min="10" max="10" width="11.26953125" customWidth="1"/>
  </cols>
  <sheetData>
    <row r="1" spans="1:14" ht="28.5" x14ac:dyDescent="0.65">
      <c r="A1" s="9" t="str">
        <f>AI_Models!$A$1</f>
        <v>Path towards AGI &amp; artificial humans - How close are AIs and robotics from being able to do any work that humans can do? #74/101</v>
      </c>
    </row>
    <row r="2" spans="1:14" ht="15.5" x14ac:dyDescent="0.35">
      <c r="A2" s="10" t="str">
        <f>AI_Models!$A$2</f>
        <v>Proprietary. © H. Mathiesen. This material can be used by others free of charge provided that the author H. Mathiesen is attributed and a clickable link is made visible to the location of used material on www.hmexperience.dk</v>
      </c>
    </row>
    <row r="3" spans="1:14" ht="15.5" x14ac:dyDescent="0.35">
      <c r="A3" s="414" t="str">
        <f>AI_Models!A3</f>
        <v>Links to all sources are available in sources table below</v>
      </c>
      <c r="B3" s="415"/>
    </row>
    <row r="4" spans="1:14" ht="15.5" x14ac:dyDescent="0.35">
      <c r="A4" s="1023"/>
    </row>
    <row r="5" spans="1:14" ht="29" thickBot="1" x14ac:dyDescent="0.7">
      <c r="B5" s="874" t="s">
        <v>3172</v>
      </c>
      <c r="C5" s="11"/>
    </row>
    <row r="6" spans="1:14" s="901" customFormat="1" ht="21" customHeight="1" thickTop="1" x14ac:dyDescent="0.45">
      <c r="A6"/>
      <c r="B6" s="905" t="s">
        <v>3095</v>
      </c>
      <c r="C6" s="902"/>
      <c r="D6" s="903"/>
      <c r="E6" s="904"/>
      <c r="F6" s="904"/>
      <c r="G6" s="977"/>
      <c r="H6"/>
      <c r="K6"/>
      <c r="L6"/>
      <c r="M6"/>
    </row>
    <row r="7" spans="1:14" ht="14.5" customHeight="1" thickBot="1" x14ac:dyDescent="0.4">
      <c r="B7" s="999" t="s">
        <v>3096</v>
      </c>
      <c r="C7" s="898"/>
      <c r="D7" s="899"/>
      <c r="E7" s="715"/>
      <c r="F7" s="715"/>
      <c r="G7" s="978"/>
      <c r="M7" s="14"/>
      <c r="N7" s="14"/>
    </row>
    <row r="8" spans="1:14" ht="15" thickTop="1" x14ac:dyDescent="0.35">
      <c r="B8" s="897" t="s">
        <v>2992</v>
      </c>
      <c r="C8" s="18" t="s">
        <v>3180</v>
      </c>
      <c r="D8" s="484" t="s">
        <v>2710</v>
      </c>
      <c r="E8" s="484" t="s">
        <v>2784</v>
      </c>
      <c r="F8" s="19" t="s">
        <v>2711</v>
      </c>
      <c r="G8" s="484" t="s">
        <v>2328</v>
      </c>
      <c r="H8" s="8"/>
    </row>
    <row r="9" spans="1:14" x14ac:dyDescent="0.35">
      <c r="B9" s="71" t="s">
        <v>2487</v>
      </c>
      <c r="C9" s="21" t="s">
        <v>3181</v>
      </c>
      <c r="D9" s="485" t="s">
        <v>2123</v>
      </c>
      <c r="E9" s="485" t="s">
        <v>2785</v>
      </c>
      <c r="F9" s="13" t="s">
        <v>2786</v>
      </c>
      <c r="G9" s="485" t="s">
        <v>2329</v>
      </c>
      <c r="H9" s="8"/>
    </row>
    <row r="10" spans="1:14" ht="15" thickBot="1" x14ac:dyDescent="0.4">
      <c r="B10" s="427" t="s">
        <v>2486</v>
      </c>
      <c r="C10" s="181" t="s">
        <v>3182</v>
      </c>
      <c r="D10" s="494" t="s">
        <v>2998</v>
      </c>
      <c r="E10" s="494" t="s">
        <v>1517</v>
      </c>
      <c r="F10" s="328" t="s">
        <v>2324</v>
      </c>
      <c r="G10" s="489" t="s">
        <v>2418</v>
      </c>
      <c r="H10" s="8"/>
    </row>
    <row r="11" spans="1:14" ht="15" thickTop="1" x14ac:dyDescent="0.35">
      <c r="A11">
        <f>1</f>
        <v>1</v>
      </c>
      <c r="B11" s="23" t="s">
        <v>2997</v>
      </c>
      <c r="C11" s="149" t="s">
        <v>2967</v>
      </c>
      <c r="D11" s="487" t="s">
        <v>45</v>
      </c>
      <c r="E11" s="487" t="s">
        <v>45</v>
      </c>
      <c r="F11" s="487" t="s">
        <v>45</v>
      </c>
      <c r="G11" s="487" t="s">
        <v>45</v>
      </c>
      <c r="H11">
        <f>1</f>
        <v>1</v>
      </c>
    </row>
    <row r="12" spans="1:14" x14ac:dyDescent="0.35">
      <c r="A12">
        <f t="shared" ref="A12:A21" si="0">A11+1</f>
        <v>2</v>
      </c>
      <c r="B12" s="23" t="s">
        <v>2970</v>
      </c>
      <c r="C12" s="149" t="s">
        <v>2965</v>
      </c>
      <c r="D12" s="487" t="s">
        <v>45</v>
      </c>
      <c r="E12" s="487" t="s">
        <v>45</v>
      </c>
      <c r="F12" s="487" t="s">
        <v>45</v>
      </c>
      <c r="G12" s="487" t="s">
        <v>45</v>
      </c>
      <c r="H12">
        <f t="shared" ref="H12:H25" si="1">H11+1</f>
        <v>2</v>
      </c>
    </row>
    <row r="13" spans="1:14" x14ac:dyDescent="0.35">
      <c r="A13">
        <f t="shared" si="0"/>
        <v>3</v>
      </c>
      <c r="B13" s="23" t="s">
        <v>2999</v>
      </c>
      <c r="C13" s="149" t="s">
        <v>2969</v>
      </c>
      <c r="D13" s="487" t="s">
        <v>45</v>
      </c>
      <c r="E13" s="487" t="s">
        <v>45</v>
      </c>
      <c r="F13" s="487" t="s">
        <v>45</v>
      </c>
      <c r="G13" s="487" t="s">
        <v>45</v>
      </c>
      <c r="H13">
        <f t="shared" si="1"/>
        <v>3</v>
      </c>
    </row>
    <row r="14" spans="1:14" x14ac:dyDescent="0.35">
      <c r="A14">
        <f t="shared" si="0"/>
        <v>4</v>
      </c>
      <c r="B14" s="23" t="s">
        <v>2993</v>
      </c>
      <c r="C14" s="149" t="s">
        <v>1670</v>
      </c>
      <c r="D14" s="803" t="s">
        <v>1490</v>
      </c>
      <c r="E14" s="720" t="s">
        <v>1491</v>
      </c>
      <c r="F14" s="718" t="s">
        <v>1491</v>
      </c>
      <c r="G14" s="487" t="s">
        <v>2327</v>
      </c>
      <c r="H14">
        <f t="shared" si="1"/>
        <v>4</v>
      </c>
    </row>
    <row r="15" spans="1:14" x14ac:dyDescent="0.35">
      <c r="A15">
        <f t="shared" si="0"/>
        <v>5</v>
      </c>
      <c r="B15" s="23" t="s">
        <v>2994</v>
      </c>
      <c r="C15" s="149" t="s">
        <v>1668</v>
      </c>
      <c r="D15" s="804" t="s">
        <v>1490</v>
      </c>
      <c r="E15" s="717" t="s">
        <v>1490</v>
      </c>
      <c r="F15" s="719" t="s">
        <v>1491</v>
      </c>
      <c r="G15" s="493" t="s">
        <v>2352</v>
      </c>
      <c r="H15">
        <f t="shared" si="1"/>
        <v>5</v>
      </c>
    </row>
    <row r="16" spans="1:14" x14ac:dyDescent="0.35">
      <c r="A16">
        <f t="shared" si="0"/>
        <v>6</v>
      </c>
      <c r="B16" s="23" t="s">
        <v>3097</v>
      </c>
      <c r="C16" s="149" t="s">
        <v>2972</v>
      </c>
      <c r="D16" s="804" t="s">
        <v>1490</v>
      </c>
      <c r="E16" s="717" t="s">
        <v>1490</v>
      </c>
      <c r="F16" s="719" t="s">
        <v>1491</v>
      </c>
      <c r="G16" s="493" t="s">
        <v>45</v>
      </c>
      <c r="H16">
        <f t="shared" si="1"/>
        <v>6</v>
      </c>
    </row>
    <row r="17" spans="1:11" x14ac:dyDescent="0.35">
      <c r="A17">
        <f t="shared" si="0"/>
        <v>7</v>
      </c>
      <c r="B17" s="422" t="s">
        <v>3099</v>
      </c>
      <c r="C17" s="149" t="s">
        <v>2973</v>
      </c>
      <c r="D17" s="804" t="s">
        <v>1490</v>
      </c>
      <c r="E17" s="717" t="s">
        <v>1490</v>
      </c>
      <c r="F17" s="719" t="s">
        <v>1491</v>
      </c>
      <c r="G17" s="493" t="s">
        <v>45</v>
      </c>
      <c r="H17">
        <f t="shared" si="1"/>
        <v>7</v>
      </c>
    </row>
    <row r="18" spans="1:11" x14ac:dyDescent="0.35">
      <c r="A18">
        <f t="shared" si="0"/>
        <v>8</v>
      </c>
      <c r="B18" s="23" t="s">
        <v>3098</v>
      </c>
      <c r="C18" s="149" t="s">
        <v>2353</v>
      </c>
      <c r="D18" s="804" t="s">
        <v>1490</v>
      </c>
      <c r="E18" s="717" t="s">
        <v>1490</v>
      </c>
      <c r="F18" s="719" t="s">
        <v>1491</v>
      </c>
      <c r="G18" s="493" t="s">
        <v>2975</v>
      </c>
      <c r="H18">
        <f t="shared" si="1"/>
        <v>8</v>
      </c>
    </row>
    <row r="19" spans="1:11" x14ac:dyDescent="0.35">
      <c r="A19">
        <f t="shared" si="0"/>
        <v>9</v>
      </c>
      <c r="B19" s="23" t="s">
        <v>3179</v>
      </c>
      <c r="C19" s="149" t="s">
        <v>2977</v>
      </c>
      <c r="D19" s="804" t="s">
        <v>1490</v>
      </c>
      <c r="E19" s="717" t="s">
        <v>1490</v>
      </c>
      <c r="F19" s="719" t="s">
        <v>1491</v>
      </c>
      <c r="G19" s="493" t="s">
        <v>45</v>
      </c>
      <c r="H19">
        <f t="shared" si="1"/>
        <v>9</v>
      </c>
    </row>
    <row r="20" spans="1:11" ht="14.5" customHeight="1" x14ac:dyDescent="0.35">
      <c r="A20">
        <f t="shared" si="0"/>
        <v>10</v>
      </c>
      <c r="B20" s="23" t="s">
        <v>2357</v>
      </c>
      <c r="C20" s="149" t="s">
        <v>2354</v>
      </c>
      <c r="D20" s="804" t="s">
        <v>1490</v>
      </c>
      <c r="E20" s="717" t="s">
        <v>1490</v>
      </c>
      <c r="F20" s="802" t="s">
        <v>2331</v>
      </c>
      <c r="G20" s="493" t="s">
        <v>2473</v>
      </c>
      <c r="H20">
        <f t="shared" si="1"/>
        <v>10</v>
      </c>
    </row>
    <row r="21" spans="1:11" ht="14.5" customHeight="1" x14ac:dyDescent="0.35">
      <c r="A21">
        <f t="shared" si="0"/>
        <v>11</v>
      </c>
      <c r="B21" s="23" t="s">
        <v>2355</v>
      </c>
      <c r="C21" s="149" t="s">
        <v>2492</v>
      </c>
      <c r="D21" s="805" t="s">
        <v>2120</v>
      </c>
      <c r="E21" s="815" t="s">
        <v>2358</v>
      </c>
      <c r="F21" s="719" t="s">
        <v>2121</v>
      </c>
      <c r="G21" s="814" t="s">
        <v>2472</v>
      </c>
      <c r="H21">
        <f t="shared" si="1"/>
        <v>11</v>
      </c>
    </row>
    <row r="22" spans="1:11" ht="14.5" customHeight="1" x14ac:dyDescent="0.35">
      <c r="A22">
        <f t="shared" ref="A22:A28" si="2">A21+1</f>
        <v>12</v>
      </c>
      <c r="B22" s="23" t="s">
        <v>3044</v>
      </c>
      <c r="C22" s="517" t="s">
        <v>2200</v>
      </c>
      <c r="D22" s="805" t="s">
        <v>2120</v>
      </c>
      <c r="E22" s="717" t="s">
        <v>1490</v>
      </c>
      <c r="F22" s="236" t="s">
        <v>2696</v>
      </c>
      <c r="G22" s="1070" t="s">
        <v>2348</v>
      </c>
      <c r="H22">
        <f t="shared" si="1"/>
        <v>12</v>
      </c>
    </row>
    <row r="23" spans="1:11" ht="14.5" customHeight="1" x14ac:dyDescent="0.35">
      <c r="A23">
        <f t="shared" si="2"/>
        <v>13</v>
      </c>
      <c r="B23" s="23" t="s">
        <v>3043</v>
      </c>
      <c r="C23" s="517" t="s">
        <v>2356</v>
      </c>
      <c r="D23" s="806" t="s">
        <v>1490</v>
      </c>
      <c r="E23" s="717" t="s">
        <v>1490</v>
      </c>
      <c r="F23" s="727" t="s">
        <v>1490</v>
      </c>
      <c r="G23" s="1070" t="s">
        <v>2349</v>
      </c>
      <c r="H23">
        <f t="shared" si="1"/>
        <v>13</v>
      </c>
    </row>
    <row r="24" spans="1:11" ht="14.5" customHeight="1" x14ac:dyDescent="0.35">
      <c r="A24">
        <f t="shared" si="2"/>
        <v>14</v>
      </c>
      <c r="B24" s="23" t="s">
        <v>3042</v>
      </c>
      <c r="C24" s="517" t="s">
        <v>2198</v>
      </c>
      <c r="D24" s="806" t="s">
        <v>1490</v>
      </c>
      <c r="E24" s="717" t="s">
        <v>1490</v>
      </c>
      <c r="F24" s="807" t="s">
        <v>1490</v>
      </c>
      <c r="G24" s="1071" t="s">
        <v>2326</v>
      </c>
      <c r="H24">
        <f t="shared" si="1"/>
        <v>14</v>
      </c>
    </row>
    <row r="25" spans="1:11" ht="14.5" customHeight="1" x14ac:dyDescent="0.35">
      <c r="A25">
        <f t="shared" si="2"/>
        <v>15</v>
      </c>
      <c r="B25" s="1020" t="s">
        <v>2468</v>
      </c>
      <c r="C25" s="1069" t="s">
        <v>2238</v>
      </c>
      <c r="D25" s="806" t="s">
        <v>1490</v>
      </c>
      <c r="E25" s="717" t="s">
        <v>1490</v>
      </c>
      <c r="F25" s="807" t="s">
        <v>1490</v>
      </c>
      <c r="G25" s="1072" t="s">
        <v>2471</v>
      </c>
      <c r="H25">
        <f t="shared" si="1"/>
        <v>15</v>
      </c>
      <c r="K25" s="132"/>
    </row>
    <row r="26" spans="1:11" ht="14.5" customHeight="1" thickBot="1" x14ac:dyDescent="0.4">
      <c r="A26">
        <f t="shared" si="2"/>
        <v>16</v>
      </c>
      <c r="B26" s="1021" t="s">
        <v>2618</v>
      </c>
      <c r="C26" s="267" t="s">
        <v>2238</v>
      </c>
      <c r="D26" s="880" t="s">
        <v>1490</v>
      </c>
      <c r="E26" s="881" t="s">
        <v>1490</v>
      </c>
      <c r="F26" s="882" t="s">
        <v>1490</v>
      </c>
      <c r="G26" s="1073" t="s">
        <v>2345</v>
      </c>
      <c r="H26">
        <f t="shared" ref="H26:H28" si="3">H25+1</f>
        <v>16</v>
      </c>
    </row>
    <row r="27" spans="1:11" ht="15" thickTop="1" x14ac:dyDescent="0.35">
      <c r="A27">
        <f t="shared" si="2"/>
        <v>17</v>
      </c>
      <c r="B27" s="1041" t="s">
        <v>2995</v>
      </c>
      <c r="C27" s="1042"/>
      <c r="D27" s="1043"/>
      <c r="E27" s="1044"/>
      <c r="F27" s="1044"/>
      <c r="G27" s="1045"/>
      <c r="H27">
        <f t="shared" si="3"/>
        <v>17</v>
      </c>
    </row>
    <row r="28" spans="1:11" ht="15" thickBot="1" x14ac:dyDescent="0.4">
      <c r="A28">
        <f t="shared" si="2"/>
        <v>18</v>
      </c>
      <c r="B28" s="27" t="s">
        <v>2425</v>
      </c>
      <c r="C28" s="392"/>
      <c r="D28" s="1046"/>
      <c r="E28" s="1047"/>
      <c r="F28" s="1047"/>
      <c r="G28" s="1048"/>
      <c r="H28">
        <f t="shared" si="3"/>
        <v>18</v>
      </c>
    </row>
    <row r="29" spans="1:11" ht="15" thickTop="1" x14ac:dyDescent="0.35"/>
    <row r="30" spans="1:11" x14ac:dyDescent="0.35">
      <c r="B30" t="s">
        <v>3193</v>
      </c>
      <c r="C30" s="199"/>
      <c r="D30" s="14" t="s">
        <v>2409</v>
      </c>
      <c r="E30" s="131" t="s">
        <v>1518</v>
      </c>
      <c r="F30" s="14" t="s">
        <v>2334</v>
      </c>
      <c r="G30" s="14" t="s">
        <v>2332</v>
      </c>
    </row>
    <row r="31" spans="1:11" x14ac:dyDescent="0.35">
      <c r="B31" t="s">
        <v>3194</v>
      </c>
      <c r="D31" s="8" t="s">
        <v>3195</v>
      </c>
      <c r="F31" t="s">
        <v>3196</v>
      </c>
      <c r="H31" t="s">
        <v>45</v>
      </c>
    </row>
    <row r="32" spans="1:11" x14ac:dyDescent="0.35">
      <c r="B32" t="s">
        <v>3186</v>
      </c>
      <c r="C32" t="s">
        <v>45</v>
      </c>
    </row>
    <row r="33" spans="2:7" x14ac:dyDescent="0.35">
      <c r="B33" s="8" t="s">
        <v>3188</v>
      </c>
      <c r="F33" t="s">
        <v>45</v>
      </c>
    </row>
    <row r="34" spans="2:7" x14ac:dyDescent="0.35">
      <c r="B34" s="14" t="s">
        <v>3184</v>
      </c>
      <c r="C34" s="14" t="s">
        <v>3185</v>
      </c>
      <c r="D34" t="s">
        <v>45</v>
      </c>
    </row>
    <row r="35" spans="2:7" x14ac:dyDescent="0.35">
      <c r="B35" t="s">
        <v>3189</v>
      </c>
      <c r="D35" s="8" t="s">
        <v>2961</v>
      </c>
      <c r="G35" s="199"/>
    </row>
    <row r="36" spans="2:7" x14ac:dyDescent="0.35">
      <c r="B36" s="8" t="s">
        <v>2946</v>
      </c>
      <c r="D36" t="s">
        <v>2252</v>
      </c>
      <c r="G36" s="199" t="s">
        <v>45</v>
      </c>
    </row>
    <row r="37" spans="2:7" x14ac:dyDescent="0.35">
      <c r="B37" s="14" t="s">
        <v>2335</v>
      </c>
      <c r="D37" s="131" t="s">
        <v>2244</v>
      </c>
      <c r="G37" s="199"/>
    </row>
    <row r="38" spans="2:7" x14ac:dyDescent="0.35">
      <c r="B38" s="14" t="s">
        <v>2251</v>
      </c>
      <c r="D38" t="s">
        <v>2962</v>
      </c>
      <c r="E38" t="s">
        <v>45</v>
      </c>
      <c r="F38" s="132"/>
      <c r="G38" s="199"/>
    </row>
    <row r="39" spans="2:7" x14ac:dyDescent="0.35">
      <c r="B39" s="14" t="s">
        <v>2947</v>
      </c>
      <c r="D39" s="14" t="s">
        <v>2245</v>
      </c>
      <c r="F39" s="132"/>
      <c r="G39" s="199"/>
    </row>
    <row r="40" spans="2:7" x14ac:dyDescent="0.35">
      <c r="B40" s="14" t="s">
        <v>2817</v>
      </c>
      <c r="D40" s="8" t="s">
        <v>2963</v>
      </c>
      <c r="E40" t="s">
        <v>45</v>
      </c>
      <c r="F40" s="132"/>
      <c r="G40" s="199"/>
    </row>
    <row r="41" spans="2:7" x14ac:dyDescent="0.35">
      <c r="B41" s="14" t="s">
        <v>2978</v>
      </c>
      <c r="D41" t="s">
        <v>2323</v>
      </c>
      <c r="F41" s="132"/>
      <c r="G41" s="199"/>
    </row>
    <row r="42" spans="2:7" x14ac:dyDescent="0.35">
      <c r="B42" s="8" t="s">
        <v>2959</v>
      </c>
      <c r="D42" s="14" t="s">
        <v>2322</v>
      </c>
      <c r="E42" t="s">
        <v>45</v>
      </c>
      <c r="F42" s="132"/>
      <c r="G42" s="199"/>
    </row>
    <row r="43" spans="2:7" x14ac:dyDescent="0.35">
      <c r="B43" t="s">
        <v>2325</v>
      </c>
      <c r="D43" t="s">
        <v>2996</v>
      </c>
      <c r="G43" s="199"/>
    </row>
    <row r="44" spans="2:7" x14ac:dyDescent="0.35">
      <c r="B44" s="14" t="s">
        <v>2116</v>
      </c>
      <c r="D44" s="14" t="s">
        <v>2347</v>
      </c>
      <c r="E44" t="s">
        <v>45</v>
      </c>
      <c r="G44" s="199"/>
    </row>
    <row r="45" spans="2:7" x14ac:dyDescent="0.35">
      <c r="B45" s="8" t="s">
        <v>3000</v>
      </c>
      <c r="D45" s="8" t="s">
        <v>2960</v>
      </c>
      <c r="G45" s="199"/>
    </row>
    <row r="46" spans="2:7" x14ac:dyDescent="0.35">
      <c r="B46" t="s">
        <v>2158</v>
      </c>
      <c r="D46" t="s">
        <v>2117</v>
      </c>
      <c r="G46" s="199"/>
    </row>
    <row r="47" spans="2:7" x14ac:dyDescent="0.35">
      <c r="B47" s="131" t="s">
        <v>2144</v>
      </c>
      <c r="D47" s="14" t="s">
        <v>2115</v>
      </c>
      <c r="F47" s="132"/>
      <c r="G47" s="199"/>
    </row>
    <row r="48" spans="2:7" ht="21.5" thickBot="1" x14ac:dyDescent="0.55000000000000004">
      <c r="B48" s="896" t="s">
        <v>38</v>
      </c>
      <c r="D48" s="199"/>
      <c r="E48" s="8"/>
      <c r="F48" s="132"/>
      <c r="G48" s="199"/>
    </row>
    <row r="49" spans="1:14" ht="14.5" customHeight="1" thickTop="1" x14ac:dyDescent="0.35">
      <c r="B49" s="1038" t="s">
        <v>2410</v>
      </c>
      <c r="C49" s="1039"/>
      <c r="D49" s="908"/>
      <c r="E49" s="712"/>
      <c r="F49" s="712"/>
      <c r="G49" s="1040"/>
      <c r="H49" t="s">
        <v>45</v>
      </c>
      <c r="K49" s="14"/>
      <c r="M49" s="14"/>
      <c r="N49" s="14"/>
    </row>
    <row r="50" spans="1:14" ht="15" thickBot="1" x14ac:dyDescent="0.4">
      <c r="B50" s="816"/>
      <c r="C50" s="813"/>
      <c r="D50" s="714"/>
      <c r="E50" s="715"/>
      <c r="F50" s="715"/>
      <c r="G50" s="1019"/>
    </row>
    <row r="51" spans="1:14" ht="14.5" customHeight="1" thickTop="1" x14ac:dyDescent="0.35">
      <c r="B51" s="900" t="s">
        <v>2488</v>
      </c>
      <c r="C51" s="18" t="str">
        <f t="shared" ref="C51:G52" si="4">C8</f>
        <v>Timeline -</v>
      </c>
      <c r="D51" s="18" t="str">
        <f t="shared" si="4"/>
        <v>Can life form survive and</v>
      </c>
      <c r="E51" s="18" t="str">
        <f t="shared" si="4"/>
        <v xml:space="preserve">Can life form learn, that is, design its </v>
      </c>
      <c r="F51" s="18" t="str">
        <f t="shared" si="4"/>
        <v>Can life form build its own</v>
      </c>
      <c r="G51" s="484" t="str">
        <f t="shared" si="4"/>
        <v>Definition by</v>
      </c>
      <c r="H51" s="8"/>
      <c r="J51" s="14"/>
    </row>
    <row r="52" spans="1:14" ht="14.5" customHeight="1" x14ac:dyDescent="0.35">
      <c r="B52" s="21"/>
      <c r="C52" s="485" t="str">
        <f t="shared" si="4"/>
        <v xml:space="preserve">First emerged or </v>
      </c>
      <c r="D52" s="485" t="str">
        <f t="shared" si="4"/>
        <v xml:space="preserve">replicate? </v>
      </c>
      <c r="E52" s="485" t="str">
        <f t="shared" si="4"/>
        <v>own software aka mind? Alternative way to ask the same question is "Can lifeform adapt to its changing environment by using its brain to learn new behavior?</v>
      </c>
      <c r="F52" s="485" t="str">
        <f t="shared" si="4"/>
        <v>hardware aka body? Alternative way to ask the same question is "Can lifeform adapt to its changing environment by changing its body?"</v>
      </c>
      <c r="G52" s="485" t="str">
        <f t="shared" si="4"/>
        <v>examples</v>
      </c>
      <c r="H52" s="8"/>
    </row>
    <row r="53" spans="1:14" ht="15" thickBot="1" x14ac:dyDescent="0.4">
      <c r="B53" s="181"/>
      <c r="C53" s="489"/>
      <c r="D53" s="489" t="str">
        <f>D10</f>
        <v>(Yes is necessity for life)</v>
      </c>
      <c r="E53" s="489" t="str">
        <f>E10</f>
        <v>(aka its mind)</v>
      </c>
      <c r="F53" s="489" t="str">
        <f>F10</f>
        <v>(aka its body)</v>
      </c>
      <c r="G53" s="489" t="str">
        <f>G10</f>
        <v xml:space="preserve"> </v>
      </c>
      <c r="H53" s="8"/>
      <c r="J53" s="14"/>
    </row>
    <row r="54" spans="1:14" ht="15" thickTop="1" x14ac:dyDescent="0.35">
      <c r="A54">
        <f>1</f>
        <v>1</v>
      </c>
      <c r="B54" s="23" t="str">
        <f t="shared" ref="B54:B69" si="5">B11</f>
        <v>No life - Formation of Earth from super nova space debris and space nebulas</v>
      </c>
      <c r="C54" s="149" t="s">
        <v>2966</v>
      </c>
      <c r="D54" s="873" t="s">
        <v>45</v>
      </c>
      <c r="E54" s="873"/>
      <c r="F54" s="8"/>
      <c r="G54" s="873"/>
      <c r="H54">
        <f>1</f>
        <v>1</v>
      </c>
      <c r="J54" s="14"/>
    </row>
    <row r="55" spans="1:14" x14ac:dyDescent="0.35">
      <c r="A55">
        <f t="shared" ref="A55:A67" si="6">A54+1</f>
        <v>2</v>
      </c>
      <c r="B55" s="23" t="str">
        <f t="shared" si="5"/>
        <v>No life - First evidence of oceans on Earth</v>
      </c>
      <c r="C55" s="149" t="s">
        <v>2968</v>
      </c>
      <c r="D55" s="873" t="s">
        <v>45</v>
      </c>
      <c r="E55" s="873"/>
      <c r="F55" s="8"/>
      <c r="G55" s="873"/>
      <c r="H55">
        <f t="shared" ref="H55:H66" si="7">H54+1</f>
        <v>2</v>
      </c>
      <c r="J55" s="14"/>
    </row>
    <row r="56" spans="1:14" x14ac:dyDescent="0.35">
      <c r="A56">
        <f t="shared" si="6"/>
        <v>3</v>
      </c>
      <c r="B56" s="23" t="str">
        <f t="shared" si="5"/>
        <v>No life - First stable Earth environment without constant bombardment of very large (200 km in diameter) asteroids and comets</v>
      </c>
      <c r="C56" s="911" t="s">
        <v>2968</v>
      </c>
      <c r="D56" s="873"/>
      <c r="E56" s="873"/>
      <c r="F56" s="8"/>
      <c r="G56" s="873"/>
      <c r="H56">
        <f t="shared" si="7"/>
        <v>3</v>
      </c>
      <c r="J56" s="14"/>
    </row>
    <row r="57" spans="1:14" x14ac:dyDescent="0.35">
      <c r="A57">
        <f t="shared" si="6"/>
        <v>4</v>
      </c>
      <c r="B57" s="23" t="str">
        <f t="shared" si="5"/>
        <v>Life 1.0 - First fossils of microbial life</v>
      </c>
      <c r="C57" s="1022" t="s">
        <v>2971</v>
      </c>
      <c r="D57" s="993" t="s">
        <v>1516</v>
      </c>
      <c r="E57" s="720" t="s">
        <v>1516</v>
      </c>
      <c r="F57" s="718" t="s">
        <v>1516</v>
      </c>
      <c r="G57" s="487" t="s">
        <v>45</v>
      </c>
      <c r="H57">
        <f t="shared" si="7"/>
        <v>4</v>
      </c>
    </row>
    <row r="58" spans="1:14" x14ac:dyDescent="0.35">
      <c r="A58">
        <f t="shared" si="6"/>
        <v>5</v>
      </c>
      <c r="B58" s="23" t="str">
        <f t="shared" si="5"/>
        <v xml:space="preserve">Life 2.0 - First fossils of mammals </v>
      </c>
      <c r="C58" s="149" t="s">
        <v>1669</v>
      </c>
      <c r="D58" s="803" t="s">
        <v>2493</v>
      </c>
      <c r="E58" s="717" t="s">
        <v>1516</v>
      </c>
      <c r="F58" s="718" t="s">
        <v>2493</v>
      </c>
      <c r="G58" s="487" t="s">
        <v>45</v>
      </c>
      <c r="H58">
        <f t="shared" si="7"/>
        <v>5</v>
      </c>
      <c r="J58" s="131"/>
    </row>
    <row r="59" spans="1:14" x14ac:dyDescent="0.35">
      <c r="A59">
        <f t="shared" si="6"/>
        <v>6</v>
      </c>
      <c r="B59" s="23" t="str">
        <f t="shared" si="5"/>
        <v>Life 2.0 - First use of stone tools by human ancestors (not homo sapiens but several other humanoid species)</v>
      </c>
      <c r="C59" s="149" t="s">
        <v>2974</v>
      </c>
      <c r="D59" s="803" t="s">
        <v>45</v>
      </c>
      <c r="E59" s="717"/>
      <c r="F59" s="718"/>
      <c r="G59" s="487"/>
      <c r="H59">
        <f t="shared" si="7"/>
        <v>6</v>
      </c>
      <c r="J59" s="131"/>
    </row>
    <row r="60" spans="1:14" x14ac:dyDescent="0.35">
      <c r="A60">
        <f t="shared" si="6"/>
        <v>7</v>
      </c>
      <c r="B60" s="23" t="str">
        <f t="shared" si="5"/>
        <v>Life 2.0 - First use of fire by human ancestors (still not homo sapiens but several other humanoid species)</v>
      </c>
      <c r="C60" s="149" t="s">
        <v>2974</v>
      </c>
      <c r="D60" s="803" t="s">
        <v>45</v>
      </c>
      <c r="E60" s="717"/>
      <c r="F60" s="718"/>
      <c r="G60" s="487"/>
      <c r="H60">
        <f t="shared" si="7"/>
        <v>7</v>
      </c>
      <c r="J60" s="131"/>
    </row>
    <row r="61" spans="1:14" x14ac:dyDescent="0.35">
      <c r="A61">
        <f t="shared" si="6"/>
        <v>8</v>
      </c>
      <c r="B61" s="23" t="str">
        <f t="shared" si="5"/>
        <v xml:space="preserve">Life 2.0 - First fossils of modern humans (first homo sapiens) </v>
      </c>
      <c r="C61" s="149" t="s">
        <v>143</v>
      </c>
      <c r="D61" s="803" t="s">
        <v>2494</v>
      </c>
      <c r="E61" s="717" t="s">
        <v>2493</v>
      </c>
      <c r="F61" s="718" t="s">
        <v>2494</v>
      </c>
      <c r="G61" s="487" t="s">
        <v>45</v>
      </c>
      <c r="H61">
        <f t="shared" si="7"/>
        <v>8</v>
      </c>
    </row>
    <row r="62" spans="1:14" x14ac:dyDescent="0.35">
      <c r="A62">
        <f t="shared" si="6"/>
        <v>9</v>
      </c>
      <c r="B62" s="23" t="str">
        <f t="shared" si="5"/>
        <v>Life 2.0 - First humans making technological civilization with agriculture, domesticated animals and cities</v>
      </c>
      <c r="C62" s="149" t="s">
        <v>2976</v>
      </c>
      <c r="D62" s="803" t="s">
        <v>45</v>
      </c>
      <c r="E62" s="717"/>
      <c r="F62" s="718"/>
      <c r="G62" s="487"/>
      <c r="H62">
        <f t="shared" si="7"/>
        <v>9</v>
      </c>
    </row>
    <row r="63" spans="1:14" ht="14.5" customHeight="1" x14ac:dyDescent="0.35">
      <c r="A63">
        <f t="shared" si="6"/>
        <v>10</v>
      </c>
      <c r="B63" s="23" t="str">
        <f t="shared" si="5"/>
        <v>Life 2.5 - First humans with implants and transplants</v>
      </c>
      <c r="C63" s="149" t="s">
        <v>2473</v>
      </c>
      <c r="D63" s="803" t="s">
        <v>2495</v>
      </c>
      <c r="E63" s="717" t="s">
        <v>2494</v>
      </c>
      <c r="F63" s="802"/>
      <c r="G63" s="487" t="s">
        <v>45</v>
      </c>
      <c r="H63">
        <f t="shared" si="7"/>
        <v>10</v>
      </c>
      <c r="J63" s="131"/>
    </row>
    <row r="64" spans="1:14" ht="14.5" customHeight="1" x14ac:dyDescent="0.35">
      <c r="A64">
        <f t="shared" si="6"/>
        <v>11</v>
      </c>
      <c r="B64" s="23" t="str">
        <f t="shared" si="5"/>
        <v>Not life - Current AIs and humanoids = Sub-human level AGI + very sub-human level android</v>
      </c>
      <c r="C64" s="149"/>
      <c r="D64" s="805"/>
      <c r="E64" s="815"/>
      <c r="F64" s="719"/>
      <c r="G64" s="487" t="s">
        <v>45</v>
      </c>
      <c r="H64">
        <f t="shared" si="7"/>
        <v>11</v>
      </c>
    </row>
    <row r="65" spans="1:14" ht="14.5" customHeight="1" x14ac:dyDescent="0.35">
      <c r="A65">
        <f t="shared" si="6"/>
        <v>12</v>
      </c>
      <c r="B65" s="23" t="str">
        <f t="shared" si="5"/>
        <v>Semi-life - Weak AGIs = Human level AGI + sub-human level android + most intelligence/memories external to android body</v>
      </c>
      <c r="C65" s="517" t="s">
        <v>2497</v>
      </c>
      <c r="D65" s="805"/>
      <c r="E65" s="717"/>
      <c r="F65" s="719"/>
      <c r="G65" s="1071" t="s">
        <v>45</v>
      </c>
      <c r="H65">
        <f t="shared" si="7"/>
        <v>12</v>
      </c>
      <c r="J65" s="14"/>
      <c r="K65" s="132"/>
    </row>
    <row r="66" spans="1:14" ht="14.5" customHeight="1" x14ac:dyDescent="0.35">
      <c r="A66">
        <f t="shared" si="6"/>
        <v>13</v>
      </c>
      <c r="B66" s="23" t="str">
        <f t="shared" si="5"/>
        <v>Life 3.0 - Strong AGIs = Super human AGI + human level android + most intelligence/memories external to android body</v>
      </c>
      <c r="C66" s="517" t="s">
        <v>2499</v>
      </c>
      <c r="D66" s="806" t="s">
        <v>1516</v>
      </c>
      <c r="E66" s="717" t="s">
        <v>1516</v>
      </c>
      <c r="F66" s="727" t="s">
        <v>1516</v>
      </c>
      <c r="G66" s="1071" t="s">
        <v>45</v>
      </c>
      <c r="H66">
        <f t="shared" si="7"/>
        <v>13</v>
      </c>
    </row>
    <row r="67" spans="1:14" ht="14.5" customHeight="1" x14ac:dyDescent="0.35">
      <c r="A67">
        <f t="shared" si="6"/>
        <v>14</v>
      </c>
      <c r="B67" s="23" t="str">
        <f t="shared" si="5"/>
        <v>Life 3.5a - Artificial super humans = Ultra human AGI + super human android + intelligence/memories embedded in android body</v>
      </c>
      <c r="C67" s="517" t="s">
        <v>2498</v>
      </c>
      <c r="D67" s="806" t="s">
        <v>45</v>
      </c>
      <c r="E67" s="717"/>
      <c r="F67" s="807"/>
      <c r="G67" s="1071" t="s">
        <v>45</v>
      </c>
      <c r="H67">
        <f t="shared" ref="H67:H71" si="8">H66+1</f>
        <v>14</v>
      </c>
      <c r="J67" s="14"/>
    </row>
    <row r="68" spans="1:14" ht="14.5" customHeight="1" x14ac:dyDescent="0.35">
      <c r="A68">
        <f t="shared" ref="A68:A71" si="9">A67+1</f>
        <v>15</v>
      </c>
      <c r="B68" s="23" t="str">
        <f t="shared" si="5"/>
        <v>Life 3.5b - Biological super humans = Super human intelligence + super human body</v>
      </c>
      <c r="C68" s="1069"/>
      <c r="D68" s="806"/>
      <c r="E68" s="717"/>
      <c r="F68" s="807"/>
      <c r="G68" s="1074"/>
      <c r="H68">
        <f t="shared" si="8"/>
        <v>15</v>
      </c>
    </row>
    <row r="69" spans="1:14" ht="14.5" customHeight="1" thickBot="1" x14ac:dyDescent="0.4">
      <c r="A69">
        <f t="shared" si="9"/>
        <v>16</v>
      </c>
      <c r="B69" s="23" t="str">
        <f t="shared" si="5"/>
        <v>Life 3.5c - Hybrid super humans = Ultra human hybrid intelligence + super human hybrid bodies</v>
      </c>
      <c r="C69" s="267"/>
      <c r="D69" s="880"/>
      <c r="E69" s="881"/>
      <c r="F69" s="882"/>
      <c r="G69" s="1073"/>
      <c r="H69">
        <f t="shared" si="8"/>
        <v>16</v>
      </c>
      <c r="J69" s="14"/>
    </row>
    <row r="70" spans="1:14" ht="15" thickTop="1" x14ac:dyDescent="0.35">
      <c r="A70">
        <f t="shared" si="9"/>
        <v>17</v>
      </c>
      <c r="B70" s="1041" t="s">
        <v>2489</v>
      </c>
      <c r="C70" s="1049" t="s">
        <v>2021</v>
      </c>
      <c r="D70" s="372" t="s">
        <v>2114</v>
      </c>
      <c r="E70" s="832" t="s">
        <v>2112</v>
      </c>
      <c r="F70" s="832" t="s">
        <v>2113</v>
      </c>
      <c r="G70" s="1045"/>
      <c r="H70">
        <f t="shared" si="8"/>
        <v>17</v>
      </c>
    </row>
    <row r="71" spans="1:14" ht="14.5" customHeight="1" thickBot="1" x14ac:dyDescent="0.4">
      <c r="A71">
        <f t="shared" si="9"/>
        <v>18</v>
      </c>
      <c r="B71" s="1050"/>
      <c r="C71" s="1051"/>
      <c r="D71" s="1052"/>
      <c r="E71" s="1047"/>
      <c r="F71" s="1047"/>
      <c r="G71" s="1053"/>
      <c r="H71">
        <f t="shared" si="8"/>
        <v>18</v>
      </c>
      <c r="K71" s="14"/>
      <c r="M71" s="14"/>
      <c r="N71" s="14"/>
    </row>
    <row r="72" spans="1:14" ht="15" thickTop="1" x14ac:dyDescent="0.35"/>
    <row r="74" spans="1:14" x14ac:dyDescent="0.35">
      <c r="D74" s="199"/>
      <c r="E74" s="8"/>
      <c r="F74" s="132"/>
      <c r="G74" s="199"/>
    </row>
    <row r="75" spans="1:14" ht="19" x14ac:dyDescent="0.35">
      <c r="B75" s="906"/>
      <c r="C75" s="907"/>
    </row>
    <row r="77" spans="1:14" x14ac:dyDescent="0.35">
      <c r="C77" s="131"/>
    </row>
    <row r="78" spans="1:14" x14ac:dyDescent="0.35">
      <c r="C78" s="131"/>
    </row>
    <row r="79" spans="1:14" x14ac:dyDescent="0.35">
      <c r="C79" s="14"/>
    </row>
    <row r="80" spans="1:14" x14ac:dyDescent="0.35">
      <c r="C80" s="14"/>
    </row>
  </sheetData>
  <phoneticPr fontId="4" type="noConversion"/>
  <hyperlinks>
    <hyperlink ref="D47" r:id="rId1" xr:uid="{30CE992B-04E2-47A7-8643-4CF1ED94704E}"/>
    <hyperlink ref="B44" r:id="rId2" xr:uid="{27EF53FB-3804-4299-A019-4492F6C61EE7}"/>
    <hyperlink ref="B47" r:id="rId3" xr:uid="{06AEE6C6-8D8B-46A9-BE99-E8FCFF76CEEE}"/>
    <hyperlink ref="D37" r:id="rId4" xr:uid="{A0B171F3-9F55-41CA-B68D-D8948A019722}"/>
    <hyperlink ref="D39" r:id="rId5" xr:uid="{A8DBD5B4-0955-4763-A246-D27EA56F8A6F}"/>
    <hyperlink ref="E30" r:id="rId6" xr:uid="{2457CFBA-3184-4E13-B5FD-EA497AE2466F}"/>
    <hyperlink ref="D42" r:id="rId7" xr:uid="{D5058603-96A3-4118-A435-F249468A08E8}"/>
    <hyperlink ref="G30" r:id="rId8" xr:uid="{B3C6BB4B-240F-4841-9CB7-A4A30574E7E4}"/>
    <hyperlink ref="F30" r:id="rId9" xr:uid="{D17058DB-0886-4152-B03D-9322D93B181E}"/>
    <hyperlink ref="D44" r:id="rId10" xr:uid="{5CCB0272-A872-49CC-AEAC-77D7DEDF9A07}"/>
    <hyperlink ref="D30" r:id="rId11" xr:uid="{D1B9BC96-0FC2-4582-92C5-C3E88CCD05DC}"/>
    <hyperlink ref="C70" r:id="rId12" xr:uid="{9E15F2D0-205F-4AED-9FE4-EFA7A1778DF9}"/>
    <hyperlink ref="F70" r:id="rId13" xr:uid="{3F1FDDD4-5327-4638-991E-5ADCD9AD9BFE}"/>
    <hyperlink ref="E70" r:id="rId14" xr:uid="{3C9D4FA3-F4CF-4DEC-8F72-84385C3CC109}"/>
    <hyperlink ref="B38" r:id="rId15" xr:uid="{3B8E9FC1-3D1C-4FED-B90D-D605B380C091}"/>
    <hyperlink ref="B37" r:id="rId16" xr:uid="{76A08B7C-368A-4031-8241-EF0EE618F785}"/>
    <hyperlink ref="D57" r:id="rId17" xr:uid="{BDBD89B7-30E6-49FE-8D81-7D475BF837FC}"/>
    <hyperlink ref="B39" r:id="rId18" xr:uid="{711F5F18-B8F8-42F7-91DE-C0F4E120AD0D}"/>
    <hyperlink ref="C56" r:id="rId19" xr:uid="{92C453B6-D812-4A56-904B-08B235304F83}"/>
    <hyperlink ref="C57" r:id="rId20" display="https://en.wikipedia.org/wiki/History_of_life" xr:uid="{F0AA6187-B86F-42B0-A380-4A72391C239B}"/>
    <hyperlink ref="B40" r:id="rId21" xr:uid="{FB533FA7-D5CC-42CC-B69E-6D914887DF24}"/>
    <hyperlink ref="B41" r:id="rId22" xr:uid="{2B8A54D0-86DA-4FF6-87EE-DC0C94F53F30}"/>
    <hyperlink ref="B34" r:id="rId23" xr:uid="{D3A2A7F1-641D-4906-9A94-C87282FA8AF7}"/>
    <hyperlink ref="C34" r:id="rId24" xr:uid="{F53CEE88-BBB8-4306-B60C-715E721D09A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C73CD-4B11-48CF-9D89-643564614AA7}">
  <dimension ref="A1:AH123"/>
  <sheetViews>
    <sheetView zoomScale="110" zoomScaleNormal="110" workbookViewId="0">
      <pane xSplit="4" ySplit="16" topLeftCell="E17" activePane="bottomRight" state="frozen"/>
      <selection pane="topRight" activeCell="E1" sqref="E1"/>
      <selection pane="bottomLeft" activeCell="A12" sqref="A12"/>
      <selection pane="bottomRight" activeCell="J18" sqref="J18"/>
    </sheetView>
  </sheetViews>
  <sheetFormatPr defaultRowHeight="14.5" x14ac:dyDescent="0.35"/>
  <cols>
    <col min="1" max="1" width="2.08984375" customWidth="1"/>
    <col min="2" max="2" width="3.1796875" customWidth="1"/>
    <col min="3" max="3" width="25.08984375" customWidth="1"/>
    <col min="4" max="4" width="11.08984375" customWidth="1"/>
    <col min="5" max="5" width="16.90625" customWidth="1"/>
    <col min="6" max="6" width="14.6328125" customWidth="1"/>
    <col min="7" max="7" width="14.1796875" customWidth="1"/>
    <col min="8" max="8" width="14.08984375" customWidth="1"/>
    <col min="9" max="9" width="20.26953125" customWidth="1"/>
    <col min="10" max="10" width="31.1796875" customWidth="1"/>
    <col min="11" max="11" width="28.81640625" customWidth="1"/>
    <col min="12" max="12" width="26.81640625" customWidth="1"/>
    <col min="13" max="13" width="19.7265625" customWidth="1"/>
    <col min="14" max="14" width="20.26953125" customWidth="1"/>
    <col min="15" max="15" width="22.6328125" customWidth="1"/>
    <col min="16" max="16" width="10.54296875" customWidth="1"/>
    <col min="17" max="17" width="12.36328125" customWidth="1"/>
    <col min="18" max="18" width="18.54296875" customWidth="1"/>
    <col min="19" max="19" width="11.81640625" customWidth="1"/>
    <col min="20" max="20" width="11.453125" customWidth="1"/>
    <col min="21" max="21" width="28" customWidth="1"/>
    <col min="22" max="22" width="1.7265625" customWidth="1"/>
    <col min="23" max="23" width="3.26953125" customWidth="1"/>
    <col min="24" max="24" width="11.7265625" customWidth="1"/>
    <col min="25" max="26" width="4.54296875" customWidth="1"/>
    <col min="27" max="27" width="23.26953125" customWidth="1"/>
    <col min="28" max="28" width="15.54296875" customWidth="1"/>
    <col min="29" max="29" width="13.7265625" customWidth="1"/>
    <col min="30" max="30" width="14.90625" customWidth="1"/>
    <col min="31" max="31" width="18.1796875" customWidth="1"/>
    <col min="32" max="32" width="78.54296875" customWidth="1"/>
    <col min="33" max="33" width="4" customWidth="1"/>
  </cols>
  <sheetData>
    <row r="1" spans="1:34" ht="28.5" x14ac:dyDescent="0.65">
      <c r="A1" s="9" t="str">
        <f>AI_Models!$A$1</f>
        <v>Path towards AGI &amp; artificial humans - How close are AIs and robotics from being able to do any work that humans can do? #74/101</v>
      </c>
    </row>
    <row r="2" spans="1:34" ht="15.5" x14ac:dyDescent="0.35">
      <c r="A2" s="10" t="str">
        <f>KeyChips!A2</f>
        <v>Proprietary. © H. Mathiesen. This material can be used by others free of charge provided that the author H. Mathiesen is attributed and a clickable link is made visible to the location of used material on www.hmexperience.dk</v>
      </c>
    </row>
    <row r="3" spans="1:34" ht="15.5" x14ac:dyDescent="0.35">
      <c r="A3" s="414" t="str">
        <f>AI_Models!A3</f>
        <v>Links to all sources are available in sources table below</v>
      </c>
      <c r="B3" s="415"/>
      <c r="C3" s="415"/>
      <c r="D3" s="415"/>
      <c r="E3" s="415"/>
    </row>
    <row r="5" spans="1:34" ht="24" thickBot="1" x14ac:dyDescent="0.6">
      <c r="C5" s="30" t="s">
        <v>2414</v>
      </c>
      <c r="D5" s="30"/>
      <c r="E5" s="31"/>
    </row>
    <row r="6" spans="1:34" ht="24.5" thickTop="1" thickBot="1" x14ac:dyDescent="0.6">
      <c r="C6" s="853"/>
      <c r="D6" s="854"/>
      <c r="E6" s="848" t="s">
        <v>2415</v>
      </c>
      <c r="F6" s="849"/>
      <c r="G6" s="820" t="s">
        <v>3109</v>
      </c>
      <c r="H6" s="821"/>
      <c r="I6" s="821"/>
      <c r="J6" s="821"/>
      <c r="K6" s="821"/>
      <c r="L6" s="821"/>
      <c r="M6" s="821"/>
      <c r="N6" s="821"/>
      <c r="O6" s="822"/>
      <c r="P6" s="846" t="s">
        <v>2556</v>
      </c>
      <c r="Q6" s="835"/>
      <c r="R6" s="835"/>
      <c r="S6" s="835"/>
      <c r="T6" s="835"/>
      <c r="U6" s="835"/>
      <c r="V6" s="836"/>
    </row>
    <row r="7" spans="1:34" ht="15" thickTop="1" x14ac:dyDescent="0.35">
      <c r="C7" s="855" t="s">
        <v>2413</v>
      </c>
      <c r="D7" s="856" t="s">
        <v>1102</v>
      </c>
      <c r="E7" s="1089" t="s">
        <v>1095</v>
      </c>
      <c r="F7" s="1090" t="s">
        <v>1096</v>
      </c>
      <c r="G7" s="1098" t="s">
        <v>2168</v>
      </c>
      <c r="H7" s="1099" t="s">
        <v>2417</v>
      </c>
      <c r="I7" s="1099" t="s">
        <v>2433</v>
      </c>
      <c r="J7" s="1099" t="s">
        <v>2169</v>
      </c>
      <c r="K7" s="1099" t="s">
        <v>2176</v>
      </c>
      <c r="L7" s="1099" t="s">
        <v>2177</v>
      </c>
      <c r="M7" s="1099" t="s">
        <v>3107</v>
      </c>
      <c r="N7" s="1099" t="s">
        <v>2172</v>
      </c>
      <c r="O7" s="860" t="s">
        <v>2173</v>
      </c>
      <c r="P7" s="838" t="s">
        <v>1099</v>
      </c>
      <c r="Q7" s="1126" t="s">
        <v>1386</v>
      </c>
      <c r="R7" s="1126" t="s">
        <v>2520</v>
      </c>
      <c r="S7" s="1126" t="s">
        <v>2514</v>
      </c>
      <c r="T7" s="1126" t="s">
        <v>1099</v>
      </c>
      <c r="U7" s="1126" t="s">
        <v>1360</v>
      </c>
      <c r="V7" s="839"/>
      <c r="X7" s="2"/>
      <c r="AC7" s="549"/>
    </row>
    <row r="8" spans="1:34" x14ac:dyDescent="0.35">
      <c r="C8" s="23"/>
      <c r="D8" s="833" t="s">
        <v>1103</v>
      </c>
      <c r="E8" s="1091" t="s">
        <v>1185</v>
      </c>
      <c r="F8" s="1092" t="s">
        <v>1186</v>
      </c>
      <c r="G8" s="1100"/>
      <c r="H8" s="1101"/>
      <c r="I8" s="1101" t="s">
        <v>2434</v>
      </c>
      <c r="J8" s="1101" t="s">
        <v>3110</v>
      </c>
      <c r="K8" s="1101" t="s">
        <v>2412</v>
      </c>
      <c r="L8" s="1101" t="s">
        <v>2178</v>
      </c>
      <c r="M8" s="1101" t="s">
        <v>3108</v>
      </c>
      <c r="N8" s="1101" t="s">
        <v>2171</v>
      </c>
      <c r="O8" s="861" t="s">
        <v>2174</v>
      </c>
      <c r="P8" s="841" t="s">
        <v>2555</v>
      </c>
      <c r="Q8" s="922" t="s">
        <v>2516</v>
      </c>
      <c r="R8" s="922" t="s">
        <v>2519</v>
      </c>
      <c r="S8" s="922" t="s">
        <v>2515</v>
      </c>
      <c r="T8" s="922" t="s">
        <v>2513</v>
      </c>
      <c r="U8" s="922" t="s">
        <v>1359</v>
      </c>
      <c r="V8" s="842"/>
      <c r="X8" s="2"/>
    </row>
    <row r="9" spans="1:34" ht="15" thickBot="1" x14ac:dyDescent="0.4">
      <c r="C9" s="27"/>
      <c r="D9" s="834" t="s">
        <v>1104</v>
      </c>
      <c r="E9" s="1093" t="s">
        <v>1184</v>
      </c>
      <c r="F9" s="1094" t="s">
        <v>2416</v>
      </c>
      <c r="G9" s="1102"/>
      <c r="H9" s="1103"/>
      <c r="I9" s="1103" t="s">
        <v>2435</v>
      </c>
      <c r="J9" s="1103" t="s">
        <v>2411</v>
      </c>
      <c r="K9" s="1103" t="s">
        <v>2432</v>
      </c>
      <c r="L9" s="1103" t="s">
        <v>2179</v>
      </c>
      <c r="M9" s="1103" t="s">
        <v>3106</v>
      </c>
      <c r="N9" s="1103" t="s">
        <v>2170</v>
      </c>
      <c r="O9" s="862" t="s">
        <v>2175</v>
      </c>
      <c r="P9" s="844" t="s">
        <v>1100</v>
      </c>
      <c r="Q9" s="1127" t="s">
        <v>2518</v>
      </c>
      <c r="R9" s="1127" t="s">
        <v>2552</v>
      </c>
      <c r="S9" s="1127" t="s">
        <v>1588</v>
      </c>
      <c r="T9" s="1127" t="s">
        <v>2512</v>
      </c>
      <c r="U9" s="1128" t="s">
        <v>2523</v>
      </c>
      <c r="V9" s="845"/>
      <c r="W9" s="922" t="s">
        <v>45</v>
      </c>
      <c r="X9" s="8" t="s">
        <v>1203</v>
      </c>
      <c r="Y9" s="8" t="s">
        <v>2118</v>
      </c>
      <c r="Z9" s="8" t="s">
        <v>2119</v>
      </c>
      <c r="AA9" s="8" t="s">
        <v>1404</v>
      </c>
      <c r="AB9" s="8" t="s">
        <v>2035</v>
      </c>
    </row>
    <row r="10" spans="1:34" ht="21.5" thickTop="1" x14ac:dyDescent="0.5">
      <c r="B10">
        <v>1</v>
      </c>
      <c r="C10" s="702" t="s">
        <v>2787</v>
      </c>
      <c r="D10" s="456"/>
      <c r="E10" s="1035"/>
      <c r="F10" s="499"/>
      <c r="G10" s="1104"/>
      <c r="H10" s="461"/>
      <c r="I10" s="465" t="s">
        <v>2558</v>
      </c>
      <c r="J10" s="465" t="s">
        <v>1650</v>
      </c>
      <c r="K10" s="465" t="s">
        <v>2451</v>
      </c>
      <c r="L10" s="465" t="s">
        <v>2451</v>
      </c>
      <c r="M10" s="465" t="s">
        <v>1650</v>
      </c>
      <c r="N10" s="465"/>
      <c r="O10" s="1105"/>
      <c r="P10" s="1129"/>
      <c r="Q10" s="1130"/>
      <c r="R10" s="1130"/>
      <c r="S10" s="1130"/>
      <c r="T10" s="1130"/>
      <c r="U10" s="1131"/>
      <c r="V10" s="460"/>
      <c r="W10">
        <v>1</v>
      </c>
      <c r="Y10" t="s">
        <v>45</v>
      </c>
      <c r="AC10" s="8"/>
      <c r="AD10" s="8"/>
      <c r="AE10" s="8"/>
      <c r="AF10" s="8"/>
      <c r="AG10" s="421"/>
      <c r="AH10" s="426"/>
    </row>
    <row r="11" spans="1:34" x14ac:dyDescent="0.35">
      <c r="B11">
        <f t="shared" ref="B11:B14" si="0">B10+1</f>
        <v>2</v>
      </c>
      <c r="C11" s="23" t="s">
        <v>1097</v>
      </c>
      <c r="D11" s="391" t="s">
        <v>1171</v>
      </c>
      <c r="E11" s="1095" t="s">
        <v>2948</v>
      </c>
      <c r="F11" s="543" t="s">
        <v>3111</v>
      </c>
      <c r="G11" s="1106" t="s">
        <v>3191</v>
      </c>
      <c r="H11" s="994" t="s">
        <v>3192</v>
      </c>
      <c r="I11" s="421" t="s">
        <v>3190</v>
      </c>
      <c r="J11" s="994" t="s">
        <v>2951</v>
      </c>
      <c r="K11" s="994" t="s">
        <v>2957</v>
      </c>
      <c r="L11" s="421" t="s">
        <v>2436</v>
      </c>
      <c r="M11" s="994">
        <f>GlobalChipProd_TFLOPS_GB_RAM!B26</f>
        <v>2037</v>
      </c>
      <c r="N11" s="421" t="s">
        <v>3105</v>
      </c>
      <c r="O11" s="1107" t="s">
        <v>2431</v>
      </c>
      <c r="P11" s="1132" t="s">
        <v>2557</v>
      </c>
      <c r="Q11" s="1133" t="s">
        <v>2554</v>
      </c>
      <c r="R11" s="1133" t="s">
        <v>2553</v>
      </c>
      <c r="S11" s="1133" t="s">
        <v>2521</v>
      </c>
      <c r="T11" s="1133" t="s">
        <v>2024</v>
      </c>
      <c r="U11" s="1134" t="s">
        <v>2522</v>
      </c>
      <c r="V11" s="53"/>
      <c r="W11">
        <f t="shared" ref="W11:W13" si="1">W10+1</f>
        <v>2</v>
      </c>
      <c r="Y11" t="s">
        <v>45</v>
      </c>
      <c r="AC11" s="8"/>
      <c r="AD11" s="8"/>
      <c r="AE11" s="8"/>
      <c r="AF11" s="8"/>
      <c r="AG11" s="421"/>
      <c r="AH11" s="424"/>
    </row>
    <row r="12" spans="1:34" x14ac:dyDescent="0.35">
      <c r="B12">
        <f t="shared" si="0"/>
        <v>3</v>
      </c>
      <c r="C12" s="23" t="s">
        <v>2789</v>
      </c>
      <c r="D12" s="391" t="s">
        <v>2788</v>
      </c>
      <c r="E12" s="540" t="s">
        <v>2790</v>
      </c>
      <c r="F12" s="543" t="s">
        <v>45</v>
      </c>
      <c r="G12" s="1106"/>
      <c r="H12" s="421"/>
      <c r="I12" s="421"/>
      <c r="J12" s="994"/>
      <c r="K12" s="421"/>
      <c r="L12" s="421"/>
      <c r="M12" s="421"/>
      <c r="N12" s="421"/>
      <c r="O12" s="1107"/>
      <c r="P12" s="1132"/>
      <c r="Q12" s="1133"/>
      <c r="R12" s="1133"/>
      <c r="S12" s="1133"/>
      <c r="T12" s="1133"/>
      <c r="U12" s="1134"/>
      <c r="V12" s="53"/>
      <c r="W12">
        <f t="shared" si="1"/>
        <v>3</v>
      </c>
      <c r="X12" s="14" t="s">
        <v>2792</v>
      </c>
      <c r="Y12" t="s">
        <v>45</v>
      </c>
      <c r="AC12" s="8"/>
      <c r="AD12" s="8"/>
      <c r="AE12" s="8"/>
      <c r="AF12" s="8"/>
      <c r="AG12" s="421"/>
      <c r="AH12" s="424"/>
    </row>
    <row r="13" spans="1:34" ht="15" thickBot="1" x14ac:dyDescent="0.4">
      <c r="B13">
        <f t="shared" si="0"/>
        <v>4</v>
      </c>
      <c r="C13" s="27" t="s">
        <v>2419</v>
      </c>
      <c r="D13" s="396" t="s">
        <v>2420</v>
      </c>
      <c r="E13" s="1096" t="s">
        <v>2430</v>
      </c>
      <c r="F13" s="1097" t="s">
        <v>2421</v>
      </c>
      <c r="G13" s="1108" t="s">
        <v>2428</v>
      </c>
      <c r="H13" s="1109" t="s">
        <v>2429</v>
      </c>
      <c r="I13" s="1110"/>
      <c r="J13" s="675" t="s">
        <v>45</v>
      </c>
      <c r="K13" s="1110"/>
      <c r="L13" s="1110"/>
      <c r="M13" s="1110"/>
      <c r="N13" s="1110"/>
      <c r="O13" s="1111"/>
      <c r="P13" s="1135"/>
      <c r="Q13" s="1136"/>
      <c r="R13" s="1136"/>
      <c r="S13" s="1137"/>
      <c r="T13" s="1137"/>
      <c r="U13" s="1138"/>
      <c r="V13" s="868"/>
      <c r="W13">
        <f t="shared" si="1"/>
        <v>4</v>
      </c>
      <c r="AC13" s="8"/>
      <c r="AD13" s="8"/>
      <c r="AE13" s="8"/>
      <c r="AF13" s="8"/>
      <c r="AG13" s="421"/>
      <c r="AH13" s="424"/>
    </row>
    <row r="14" spans="1:34" s="16" customFormat="1" ht="21.5" thickTop="1" x14ac:dyDescent="0.5">
      <c r="B14">
        <f t="shared" si="0"/>
        <v>5</v>
      </c>
      <c r="C14" s="699" t="s">
        <v>3100</v>
      </c>
      <c r="D14" s="700"/>
      <c r="E14" s="699"/>
      <c r="F14" s="211"/>
      <c r="G14" s="1112"/>
      <c r="H14" s="210"/>
      <c r="I14" s="210"/>
      <c r="J14" s="1113"/>
      <c r="K14" s="210"/>
      <c r="L14" s="210"/>
      <c r="M14" s="210"/>
      <c r="N14" s="210"/>
      <c r="O14" s="211"/>
      <c r="P14" s="203"/>
      <c r="Q14" s="210"/>
      <c r="R14" s="210"/>
      <c r="S14" s="210"/>
      <c r="T14" s="210"/>
      <c r="U14" s="210"/>
      <c r="V14" s="211"/>
      <c r="W14">
        <f>W13+1</f>
        <v>5</v>
      </c>
      <c r="AG14" s="16" t="s">
        <v>45</v>
      </c>
    </row>
    <row r="15" spans="1:34" x14ac:dyDescent="0.35">
      <c r="B15">
        <f t="shared" ref="B15:B60" si="2">B14+1</f>
        <v>6</v>
      </c>
      <c r="C15" s="23" t="s">
        <v>2062</v>
      </c>
      <c r="D15" s="832" t="s">
        <v>1101</v>
      </c>
      <c r="E15" s="540" t="s">
        <v>2423</v>
      </c>
      <c r="F15" s="543" t="s">
        <v>3054</v>
      </c>
      <c r="G15" s="1114" t="s">
        <v>2517</v>
      </c>
      <c r="H15" s="92">
        <v>2045</v>
      </c>
      <c r="I15" s="92"/>
      <c r="J15" s="92" t="s">
        <v>45</v>
      </c>
      <c r="K15" s="92"/>
      <c r="L15" s="92"/>
      <c r="M15" s="92"/>
      <c r="N15" s="92" t="s">
        <v>45</v>
      </c>
      <c r="O15" s="1115" t="s">
        <v>2238</v>
      </c>
      <c r="P15" s="1132" t="s">
        <v>1400</v>
      </c>
      <c r="Q15" s="405" t="s">
        <v>1387</v>
      </c>
      <c r="R15" s="405"/>
      <c r="S15" s="1133" t="s">
        <v>2026</v>
      </c>
      <c r="T15" s="1133" t="s">
        <v>2022</v>
      </c>
      <c r="U15" s="1139" t="s">
        <v>1488</v>
      </c>
      <c r="V15" s="53"/>
      <c r="W15">
        <f t="shared" ref="W15:W60" si="3">W14+1</f>
        <v>6</v>
      </c>
      <c r="X15" s="131" t="s">
        <v>2033</v>
      </c>
      <c r="Y15" t="s">
        <v>45</v>
      </c>
      <c r="AA15" t="s">
        <v>2063</v>
      </c>
      <c r="AB15" t="s">
        <v>45</v>
      </c>
      <c r="AG15" t="s">
        <v>45</v>
      </c>
    </row>
    <row r="16" spans="1:34" x14ac:dyDescent="0.35">
      <c r="B16">
        <f t="shared" si="2"/>
        <v>7</v>
      </c>
      <c r="C16" s="23" t="s">
        <v>2023</v>
      </c>
      <c r="D16" s="831" t="s">
        <v>1202</v>
      </c>
      <c r="E16" s="540" t="s">
        <v>2019</v>
      </c>
      <c r="F16" s="543" t="s">
        <v>2236</v>
      </c>
      <c r="G16" s="1114" t="s">
        <v>2016</v>
      </c>
      <c r="H16" s="92">
        <v>2040</v>
      </c>
      <c r="I16" s="92"/>
      <c r="J16" s="92" t="s">
        <v>45</v>
      </c>
      <c r="K16" s="92"/>
      <c r="L16" s="92"/>
      <c r="M16" s="92"/>
      <c r="N16" s="92" t="s">
        <v>45</v>
      </c>
      <c r="O16" s="1115" t="s">
        <v>2239</v>
      </c>
      <c r="P16" s="1132" t="s">
        <v>1399</v>
      </c>
      <c r="Q16" s="405" t="s">
        <v>1387</v>
      </c>
      <c r="R16" s="405"/>
      <c r="S16" s="405"/>
      <c r="T16" s="1133" t="s">
        <v>2022</v>
      </c>
      <c r="U16" s="1139" t="s">
        <v>2027</v>
      </c>
      <c r="V16" s="419"/>
      <c r="W16">
        <f t="shared" si="3"/>
        <v>7</v>
      </c>
      <c r="X16" s="14" t="s">
        <v>1204</v>
      </c>
      <c r="Y16" s="14" t="s">
        <v>2014</v>
      </c>
      <c r="Z16" s="131" t="s">
        <v>2020</v>
      </c>
      <c r="AA16" t="s">
        <v>2015</v>
      </c>
      <c r="AC16" t="s">
        <v>45</v>
      </c>
    </row>
    <row r="17" spans="2:34" x14ac:dyDescent="0.35">
      <c r="B17">
        <f t="shared" si="2"/>
        <v>8</v>
      </c>
      <c r="C17" s="23" t="s">
        <v>1322</v>
      </c>
      <c r="D17" s="832" t="s">
        <v>1173</v>
      </c>
      <c r="E17" s="540" t="s">
        <v>2793</v>
      </c>
      <c r="F17" s="543" t="s">
        <v>3102</v>
      </c>
      <c r="G17" s="1114" t="s">
        <v>2012</v>
      </c>
      <c r="H17" s="92" t="s">
        <v>45</v>
      </c>
      <c r="I17" s="92"/>
      <c r="J17" s="92" t="s">
        <v>45</v>
      </c>
      <c r="K17" s="92"/>
      <c r="L17" s="92"/>
      <c r="M17" s="92"/>
      <c r="N17" s="92" t="s">
        <v>45</v>
      </c>
      <c r="O17" s="1115"/>
      <c r="P17" s="1132"/>
      <c r="Q17" s="405">
        <v>0.1</v>
      </c>
      <c r="R17" s="405"/>
      <c r="S17" s="405"/>
      <c r="T17" s="1133" t="s">
        <v>1606</v>
      </c>
      <c r="U17" s="1139" t="s">
        <v>45</v>
      </c>
      <c r="V17" s="418"/>
      <c r="W17">
        <f t="shared" si="3"/>
        <v>8</v>
      </c>
      <c r="X17" t="s">
        <v>2032</v>
      </c>
      <c r="Y17" t="s">
        <v>45</v>
      </c>
      <c r="AA17" t="s">
        <v>1636</v>
      </c>
      <c r="AB17" t="s">
        <v>45</v>
      </c>
      <c r="AC17" t="s">
        <v>45</v>
      </c>
      <c r="AG17" t="s">
        <v>45</v>
      </c>
    </row>
    <row r="18" spans="2:34" x14ac:dyDescent="0.35">
      <c r="B18">
        <f t="shared" si="2"/>
        <v>9</v>
      </c>
      <c r="C18" s="23" t="s">
        <v>3103</v>
      </c>
      <c r="D18" s="832" t="s">
        <v>1170</v>
      </c>
      <c r="E18" s="540" t="s">
        <v>2737</v>
      </c>
      <c r="F18" s="543" t="s">
        <v>45</v>
      </c>
      <c r="G18" s="1114" t="s">
        <v>3104</v>
      </c>
      <c r="H18" s="92" t="s">
        <v>45</v>
      </c>
      <c r="I18" s="92"/>
      <c r="J18" s="92" t="s">
        <v>45</v>
      </c>
      <c r="K18" s="92"/>
      <c r="L18" s="92"/>
      <c r="M18" s="92"/>
      <c r="N18" s="92"/>
      <c r="O18" s="1115"/>
      <c r="P18" s="1132"/>
      <c r="Q18" s="405"/>
      <c r="R18" s="405"/>
      <c r="S18" s="405"/>
      <c r="T18" s="405"/>
      <c r="U18" s="1139"/>
      <c r="V18" s="418"/>
      <c r="W18">
        <f t="shared" si="3"/>
        <v>9</v>
      </c>
      <c r="Y18" t="s">
        <v>45</v>
      </c>
      <c r="AA18" t="s">
        <v>1678</v>
      </c>
      <c r="AB18" t="s">
        <v>45</v>
      </c>
      <c r="AC18" s="8"/>
      <c r="AD18" s="8"/>
      <c r="AE18" s="8"/>
      <c r="AF18" s="8"/>
      <c r="AG18" s="421"/>
      <c r="AH18" s="426"/>
    </row>
    <row r="19" spans="2:34" x14ac:dyDescent="0.35">
      <c r="B19">
        <f t="shared" si="2"/>
        <v>10</v>
      </c>
      <c r="C19" s="23" t="s">
        <v>1324</v>
      </c>
      <c r="D19" s="832" t="s">
        <v>1172</v>
      </c>
      <c r="E19" s="540" t="s">
        <v>2795</v>
      </c>
      <c r="F19" s="543" t="s">
        <v>45</v>
      </c>
      <c r="G19" s="1116">
        <v>2034</v>
      </c>
      <c r="H19" s="92"/>
      <c r="I19" s="92"/>
      <c r="J19" s="92" t="s">
        <v>45</v>
      </c>
      <c r="K19" s="92"/>
      <c r="L19" s="92"/>
      <c r="M19" s="92"/>
      <c r="N19" s="92"/>
      <c r="O19" s="1115"/>
      <c r="P19" s="1132" t="s">
        <v>2038</v>
      </c>
      <c r="Q19" s="405" t="s">
        <v>1388</v>
      </c>
      <c r="R19" s="405"/>
      <c r="S19" s="405"/>
      <c r="T19" s="405"/>
      <c r="U19" s="1139"/>
      <c r="V19" s="418"/>
      <c r="W19">
        <f t="shared" si="3"/>
        <v>10</v>
      </c>
      <c r="X19" t="s">
        <v>2037</v>
      </c>
      <c r="Y19" s="14" t="s">
        <v>2843</v>
      </c>
      <c r="Z19" s="809" t="s">
        <v>45</v>
      </c>
      <c r="AA19" t="s">
        <v>2034</v>
      </c>
      <c r="AB19" t="s">
        <v>2036</v>
      </c>
      <c r="AC19" t="s">
        <v>45</v>
      </c>
      <c r="AG19" t="s">
        <v>45</v>
      </c>
    </row>
    <row r="20" spans="2:34" x14ac:dyDescent="0.35">
      <c r="B20">
        <f t="shared" si="2"/>
        <v>11</v>
      </c>
      <c r="C20" s="23" t="s">
        <v>1198</v>
      </c>
      <c r="D20" s="832" t="s">
        <v>1199</v>
      </c>
      <c r="E20" s="540" t="s">
        <v>2866</v>
      </c>
      <c r="F20" s="543" t="s">
        <v>45</v>
      </c>
      <c r="G20" s="1114" t="s">
        <v>2867</v>
      </c>
      <c r="H20" s="92" t="s">
        <v>45</v>
      </c>
      <c r="I20" s="92"/>
      <c r="J20" s="92" t="s">
        <v>45</v>
      </c>
      <c r="K20" s="92"/>
      <c r="L20" s="92"/>
      <c r="M20" s="92"/>
      <c r="N20" s="92"/>
      <c r="O20" s="1115"/>
      <c r="P20" s="1132" t="s">
        <v>2865</v>
      </c>
      <c r="Q20" s="405"/>
      <c r="R20" s="405"/>
      <c r="S20" s="405"/>
      <c r="T20" s="405"/>
      <c r="U20" s="1139"/>
      <c r="V20" s="418"/>
      <c r="W20">
        <f t="shared" si="3"/>
        <v>11</v>
      </c>
      <c r="Y20" t="s">
        <v>45</v>
      </c>
    </row>
    <row r="21" spans="2:34" x14ac:dyDescent="0.35">
      <c r="B21">
        <f t="shared" si="2"/>
        <v>12</v>
      </c>
      <c r="C21" s="23" t="s">
        <v>2868</v>
      </c>
      <c r="D21" s="832" t="s">
        <v>1197</v>
      </c>
      <c r="E21" s="540" t="s">
        <v>45</v>
      </c>
      <c r="F21" s="543"/>
      <c r="G21" s="1116"/>
      <c r="H21" s="92"/>
      <c r="I21" s="92"/>
      <c r="J21" s="92" t="s">
        <v>45</v>
      </c>
      <c r="K21" s="92"/>
      <c r="L21" s="92"/>
      <c r="M21" s="92"/>
      <c r="N21" s="92"/>
      <c r="O21" s="1115"/>
      <c r="P21" s="1132"/>
      <c r="Q21" s="405"/>
      <c r="R21" s="405"/>
      <c r="S21" s="405"/>
      <c r="T21" s="405"/>
      <c r="U21" s="1139"/>
      <c r="V21" s="418"/>
      <c r="W21">
        <f t="shared" si="3"/>
        <v>12</v>
      </c>
      <c r="Y21" t="s">
        <v>45</v>
      </c>
    </row>
    <row r="22" spans="2:34" x14ac:dyDescent="0.35">
      <c r="B22">
        <f t="shared" si="2"/>
        <v>13</v>
      </c>
      <c r="C22" s="23" t="s">
        <v>2426</v>
      </c>
      <c r="D22" s="832" t="s">
        <v>1704</v>
      </c>
      <c r="E22" s="540" t="s">
        <v>2180</v>
      </c>
      <c r="F22" s="543" t="s">
        <v>45</v>
      </c>
      <c r="G22" s="1116">
        <v>2035</v>
      </c>
      <c r="H22" s="92"/>
      <c r="I22" s="92"/>
      <c r="J22" s="92">
        <v>2035</v>
      </c>
      <c r="K22" s="92"/>
      <c r="L22" s="92"/>
      <c r="M22" s="92"/>
      <c r="N22" s="92"/>
      <c r="O22" s="1115"/>
      <c r="P22" s="1132"/>
      <c r="Q22" s="405"/>
      <c r="R22" s="405"/>
      <c r="S22" s="405"/>
      <c r="T22" s="405"/>
      <c r="U22" s="1139"/>
      <c r="V22" s="418"/>
      <c r="W22">
        <f t="shared" si="3"/>
        <v>13</v>
      </c>
      <c r="Y22" t="s">
        <v>45</v>
      </c>
      <c r="AA22" t="s">
        <v>1706</v>
      </c>
      <c r="AB22" t="s">
        <v>45</v>
      </c>
    </row>
    <row r="23" spans="2:34" x14ac:dyDescent="0.35">
      <c r="B23">
        <f t="shared" si="2"/>
        <v>14</v>
      </c>
      <c r="C23" s="23" t="s">
        <v>2427</v>
      </c>
      <c r="D23" s="832" t="s">
        <v>1587</v>
      </c>
      <c r="E23" s="540" t="s">
        <v>45</v>
      </c>
      <c r="F23" s="543" t="s">
        <v>45</v>
      </c>
      <c r="G23" s="1114" t="s">
        <v>1594</v>
      </c>
      <c r="H23" s="92"/>
      <c r="I23" s="92"/>
      <c r="J23" s="92" t="s">
        <v>45</v>
      </c>
      <c r="K23" s="92"/>
      <c r="L23" s="92"/>
      <c r="M23" s="92"/>
      <c r="N23" s="92" t="s">
        <v>45</v>
      </c>
      <c r="O23" s="1115"/>
      <c r="P23" s="52"/>
      <c r="Q23" s="202" t="s">
        <v>1712</v>
      </c>
      <c r="R23" s="202"/>
      <c r="S23" s="1133" t="s">
        <v>1592</v>
      </c>
      <c r="T23" s="1133" t="s">
        <v>45</v>
      </c>
      <c r="U23" s="1139"/>
      <c r="V23" s="418"/>
      <c r="W23">
        <f t="shared" si="3"/>
        <v>14</v>
      </c>
      <c r="X23" s="14" t="s">
        <v>2011</v>
      </c>
      <c r="Y23" t="s">
        <v>45</v>
      </c>
    </row>
    <row r="24" spans="2:34" x14ac:dyDescent="0.35">
      <c r="B24">
        <f t="shared" si="2"/>
        <v>15</v>
      </c>
      <c r="C24" s="23" t="s">
        <v>2863</v>
      </c>
      <c r="D24" s="832" t="s">
        <v>1478</v>
      </c>
      <c r="E24" s="540" t="s">
        <v>2871</v>
      </c>
      <c r="F24" s="543" t="s">
        <v>45</v>
      </c>
      <c r="G24" s="1114" t="s">
        <v>2138</v>
      </c>
      <c r="H24" s="92" t="s">
        <v>45</v>
      </c>
      <c r="I24" s="92"/>
      <c r="J24" s="92" t="s">
        <v>45</v>
      </c>
      <c r="K24" s="92"/>
      <c r="L24" s="92"/>
      <c r="M24" s="92"/>
      <c r="N24" s="92"/>
      <c r="O24" s="1115"/>
      <c r="P24" s="1132"/>
      <c r="Q24" s="405"/>
      <c r="R24" s="405"/>
      <c r="S24" s="405"/>
      <c r="T24" s="405"/>
      <c r="U24" s="1139"/>
      <c r="V24" s="418"/>
      <c r="W24">
        <f t="shared" si="3"/>
        <v>15</v>
      </c>
      <c r="X24" s="14" t="s">
        <v>2030</v>
      </c>
      <c r="Y24" t="s">
        <v>45</v>
      </c>
    </row>
    <row r="25" spans="2:34" x14ac:dyDescent="0.35">
      <c r="B25">
        <f t="shared" si="2"/>
        <v>16</v>
      </c>
      <c r="C25" s="23" t="s">
        <v>1323</v>
      </c>
      <c r="D25" s="832" t="s">
        <v>1176</v>
      </c>
      <c r="E25" s="540" t="s">
        <v>45</v>
      </c>
      <c r="F25" s="543" t="s">
        <v>45</v>
      </c>
      <c r="G25" s="1114" t="s">
        <v>2138</v>
      </c>
      <c r="H25" s="92" t="s">
        <v>45</v>
      </c>
      <c r="I25" s="92"/>
      <c r="J25" s="92" t="s">
        <v>45</v>
      </c>
      <c r="K25" s="92"/>
      <c r="L25" s="92"/>
      <c r="M25" s="92"/>
      <c r="N25" s="92"/>
      <c r="O25" s="1115"/>
      <c r="P25" s="1132"/>
      <c r="Q25" s="405"/>
      <c r="R25" s="405"/>
      <c r="S25" s="405"/>
      <c r="T25" s="405"/>
      <c r="U25" s="1139"/>
      <c r="V25" s="418"/>
      <c r="W25">
        <f t="shared" si="3"/>
        <v>16</v>
      </c>
      <c r="Y25" t="s">
        <v>45</v>
      </c>
      <c r="AG25" t="s">
        <v>45</v>
      </c>
    </row>
    <row r="26" spans="2:34" x14ac:dyDescent="0.35">
      <c r="B26">
        <f t="shared" si="2"/>
        <v>17</v>
      </c>
      <c r="C26" s="23" t="s">
        <v>2333</v>
      </c>
      <c r="D26" s="831" t="s">
        <v>1518</v>
      </c>
      <c r="E26" s="540" t="s">
        <v>2346</v>
      </c>
      <c r="F26" s="543" t="s">
        <v>45</v>
      </c>
      <c r="G26" s="1114" t="s">
        <v>18</v>
      </c>
      <c r="H26" s="92"/>
      <c r="I26" s="92"/>
      <c r="J26" s="92" t="s">
        <v>45</v>
      </c>
      <c r="K26" s="92"/>
      <c r="L26" s="92"/>
      <c r="M26" s="92"/>
      <c r="N26" s="92"/>
      <c r="O26" s="1115"/>
      <c r="P26" s="1132"/>
      <c r="Q26" s="405"/>
      <c r="R26" s="405"/>
      <c r="S26" s="405"/>
      <c r="T26" s="1133"/>
      <c r="U26" s="1139"/>
      <c r="V26" s="419"/>
      <c r="W26">
        <f t="shared" si="3"/>
        <v>17</v>
      </c>
      <c r="X26" s="14" t="s">
        <v>2332</v>
      </c>
      <c r="Y26" t="s">
        <v>45</v>
      </c>
      <c r="Z26" s="131"/>
    </row>
    <row r="27" spans="2:34" x14ac:dyDescent="0.35">
      <c r="B27">
        <f t="shared" si="2"/>
        <v>18</v>
      </c>
      <c r="C27" s="23" t="s">
        <v>2009</v>
      </c>
      <c r="D27" s="832" t="s">
        <v>1177</v>
      </c>
      <c r="E27" s="540" t="s">
        <v>45</v>
      </c>
      <c r="F27" s="543" t="s">
        <v>45</v>
      </c>
      <c r="G27" s="1114" t="s">
        <v>2135</v>
      </c>
      <c r="H27" s="92" t="s">
        <v>45</v>
      </c>
      <c r="I27" s="92"/>
      <c r="J27" s="92" t="s">
        <v>45</v>
      </c>
      <c r="K27" s="92"/>
      <c r="L27" s="92"/>
      <c r="M27" s="92"/>
      <c r="N27" s="92"/>
      <c r="O27" s="1115"/>
      <c r="P27" s="1132" t="s">
        <v>1512</v>
      </c>
      <c r="Q27" s="1133" t="s">
        <v>45</v>
      </c>
      <c r="R27" s="1133"/>
      <c r="S27" s="1133"/>
      <c r="T27" s="1133"/>
      <c r="U27" s="1139" t="s">
        <v>1590</v>
      </c>
      <c r="V27" s="418"/>
      <c r="W27">
        <f t="shared" si="3"/>
        <v>18</v>
      </c>
      <c r="Y27" t="s">
        <v>45</v>
      </c>
      <c r="AA27" t="s">
        <v>1591</v>
      </c>
      <c r="AB27" t="s">
        <v>45</v>
      </c>
    </row>
    <row r="28" spans="2:34" x14ac:dyDescent="0.35">
      <c r="B28">
        <f t="shared" si="2"/>
        <v>19</v>
      </c>
      <c r="C28" s="23" t="s">
        <v>1361</v>
      </c>
      <c r="D28" s="832" t="s">
        <v>1357</v>
      </c>
      <c r="E28" s="540" t="s">
        <v>45</v>
      </c>
      <c r="F28" s="543"/>
      <c r="G28" s="1116"/>
      <c r="H28" s="92"/>
      <c r="I28" s="92"/>
      <c r="J28" s="92" t="s">
        <v>45</v>
      </c>
      <c r="K28" s="92"/>
      <c r="L28" s="92"/>
      <c r="M28" s="92"/>
      <c r="N28" s="92" t="s">
        <v>45</v>
      </c>
      <c r="O28" s="1115"/>
      <c r="P28" s="1132" t="s">
        <v>1362</v>
      </c>
      <c r="Q28" s="405" t="s">
        <v>45</v>
      </c>
      <c r="R28" s="405"/>
      <c r="S28" s="405"/>
      <c r="T28" s="405"/>
      <c r="U28" s="1139"/>
      <c r="V28" s="418"/>
      <c r="W28">
        <f t="shared" si="3"/>
        <v>19</v>
      </c>
      <c r="Y28" t="s">
        <v>45</v>
      </c>
    </row>
    <row r="29" spans="2:34" x14ac:dyDescent="0.35">
      <c r="B29">
        <f t="shared" si="2"/>
        <v>20</v>
      </c>
      <c r="C29" s="23" t="s">
        <v>1403</v>
      </c>
      <c r="D29" s="832" t="s">
        <v>1402</v>
      </c>
      <c r="E29" s="540" t="s">
        <v>45</v>
      </c>
      <c r="F29" s="543"/>
      <c r="G29" s="1116"/>
      <c r="H29" s="92"/>
      <c r="I29" s="92"/>
      <c r="J29" s="92" t="s">
        <v>45</v>
      </c>
      <c r="K29" s="92"/>
      <c r="L29" s="92"/>
      <c r="M29" s="92"/>
      <c r="N29" s="92"/>
      <c r="O29" s="1115"/>
      <c r="P29" s="1132"/>
      <c r="Q29" s="405"/>
      <c r="R29" s="405"/>
      <c r="S29" s="405"/>
      <c r="T29" s="405"/>
      <c r="U29" s="1139"/>
      <c r="V29" s="418"/>
      <c r="W29">
        <f t="shared" si="3"/>
        <v>20</v>
      </c>
      <c r="Y29" t="s">
        <v>45</v>
      </c>
      <c r="AA29" t="s">
        <v>1486</v>
      </c>
      <c r="AB29" t="s">
        <v>45</v>
      </c>
    </row>
    <row r="30" spans="2:34" x14ac:dyDescent="0.35">
      <c r="B30">
        <f t="shared" si="2"/>
        <v>21</v>
      </c>
      <c r="C30" s="23" t="s">
        <v>1299</v>
      </c>
      <c r="D30" s="832" t="s">
        <v>1298</v>
      </c>
      <c r="E30" s="540" t="s">
        <v>45</v>
      </c>
      <c r="F30" s="543" t="s">
        <v>45</v>
      </c>
      <c r="G30" s="1114" t="s">
        <v>2166</v>
      </c>
      <c r="H30" s="92" t="s">
        <v>45</v>
      </c>
      <c r="I30" s="92"/>
      <c r="J30" s="92" t="s">
        <v>45</v>
      </c>
      <c r="K30" s="92"/>
      <c r="L30" s="92"/>
      <c r="M30" s="92"/>
      <c r="N30" s="92"/>
      <c r="O30" s="1115"/>
      <c r="P30" s="1132"/>
      <c r="Q30" s="405"/>
      <c r="R30" s="405"/>
      <c r="S30" s="405"/>
      <c r="T30" s="405"/>
      <c r="U30" s="1139"/>
      <c r="V30" s="418"/>
      <c r="W30">
        <f t="shared" si="3"/>
        <v>21</v>
      </c>
      <c r="Y30" t="s">
        <v>45</v>
      </c>
    </row>
    <row r="31" spans="2:34" x14ac:dyDescent="0.35">
      <c r="B31">
        <f t="shared" si="2"/>
        <v>22</v>
      </c>
      <c r="C31" s="422" t="s">
        <v>1378</v>
      </c>
      <c r="D31" s="832" t="s">
        <v>1377</v>
      </c>
      <c r="E31" s="540" t="s">
        <v>45</v>
      </c>
      <c r="F31" s="543"/>
      <c r="G31" s="1116"/>
      <c r="H31" s="92"/>
      <c r="I31" s="92"/>
      <c r="J31" s="92" t="s">
        <v>45</v>
      </c>
      <c r="K31" s="92"/>
      <c r="L31" s="92"/>
      <c r="M31" s="92"/>
      <c r="N31" s="92"/>
      <c r="O31" s="1115"/>
      <c r="P31" s="1132" t="s">
        <v>1379</v>
      </c>
      <c r="Q31" s="405"/>
      <c r="R31" s="405"/>
      <c r="S31" s="405"/>
      <c r="T31" s="405"/>
      <c r="U31" s="1139"/>
      <c r="V31" s="418"/>
      <c r="W31">
        <f t="shared" si="3"/>
        <v>22</v>
      </c>
      <c r="Y31" t="s">
        <v>45</v>
      </c>
    </row>
    <row r="32" spans="2:34" x14ac:dyDescent="0.35">
      <c r="B32">
        <f t="shared" si="2"/>
        <v>23</v>
      </c>
      <c r="C32" s="23" t="s">
        <v>1196</v>
      </c>
      <c r="D32" s="832" t="s">
        <v>1193</v>
      </c>
      <c r="E32" s="540" t="s">
        <v>45</v>
      </c>
      <c r="F32" s="543"/>
      <c r="G32" s="1116"/>
      <c r="H32" s="92"/>
      <c r="I32" s="92"/>
      <c r="J32" s="92" t="s">
        <v>45</v>
      </c>
      <c r="K32" s="92"/>
      <c r="L32" s="92"/>
      <c r="M32" s="92"/>
      <c r="N32" s="92"/>
      <c r="O32" s="1115"/>
      <c r="P32" s="1132" t="s">
        <v>1595</v>
      </c>
      <c r="Q32" s="405" t="s">
        <v>1395</v>
      </c>
      <c r="R32" s="405"/>
      <c r="S32" s="405"/>
      <c r="T32" s="405"/>
      <c r="U32" s="1139"/>
      <c r="V32" s="418"/>
      <c r="W32">
        <f t="shared" si="3"/>
        <v>23</v>
      </c>
      <c r="Y32" t="s">
        <v>45</v>
      </c>
      <c r="AA32" t="s">
        <v>2424</v>
      </c>
    </row>
    <row r="33" spans="2:34" x14ac:dyDescent="0.35">
      <c r="B33">
        <f t="shared" si="2"/>
        <v>24</v>
      </c>
      <c r="C33" s="23" t="s">
        <v>1381</v>
      </c>
      <c r="D33" s="832" t="s">
        <v>1380</v>
      </c>
      <c r="E33" s="540" t="s">
        <v>45</v>
      </c>
      <c r="F33" s="543"/>
      <c r="G33" s="1116"/>
      <c r="H33" s="92"/>
      <c r="I33" s="92"/>
      <c r="J33" s="92" t="s">
        <v>45</v>
      </c>
      <c r="K33" s="92"/>
      <c r="L33" s="92"/>
      <c r="M33" s="92"/>
      <c r="N33" s="92" t="s">
        <v>45</v>
      </c>
      <c r="O33" s="1115"/>
      <c r="P33" s="1132" t="s">
        <v>1382</v>
      </c>
      <c r="Q33" s="405" t="s">
        <v>45</v>
      </c>
      <c r="R33" s="405"/>
      <c r="S33" s="405"/>
      <c r="T33" s="405"/>
      <c r="U33" s="1139"/>
      <c r="V33" s="418"/>
      <c r="W33">
        <f t="shared" si="3"/>
        <v>24</v>
      </c>
      <c r="Y33" t="s">
        <v>45</v>
      </c>
    </row>
    <row r="34" spans="2:34" x14ac:dyDescent="0.35">
      <c r="B34">
        <f t="shared" si="2"/>
        <v>25</v>
      </c>
      <c r="C34" s="23" t="s">
        <v>1297</v>
      </c>
      <c r="D34" s="832" t="s">
        <v>1296</v>
      </c>
      <c r="E34" s="540" t="s">
        <v>2873</v>
      </c>
      <c r="F34" s="543" t="s">
        <v>45</v>
      </c>
      <c r="G34" s="1114" t="s">
        <v>2869</v>
      </c>
      <c r="H34" s="92" t="s">
        <v>45</v>
      </c>
      <c r="I34" s="92"/>
      <c r="J34" s="92" t="s">
        <v>45</v>
      </c>
      <c r="K34" s="92"/>
      <c r="L34" s="92"/>
      <c r="M34" s="92"/>
      <c r="N34" s="92"/>
      <c r="O34" s="1115"/>
      <c r="P34" s="1132"/>
      <c r="Q34" s="405"/>
      <c r="R34" s="405"/>
      <c r="S34" s="405"/>
      <c r="T34" s="405"/>
      <c r="U34" s="1139"/>
      <c r="V34" s="418"/>
      <c r="W34">
        <f t="shared" si="3"/>
        <v>25</v>
      </c>
      <c r="Y34" t="s">
        <v>45</v>
      </c>
      <c r="AA34" t="s">
        <v>2424</v>
      </c>
    </row>
    <row r="35" spans="2:34" x14ac:dyDescent="0.35">
      <c r="B35">
        <f t="shared" si="2"/>
        <v>26</v>
      </c>
      <c r="C35" s="23" t="s">
        <v>1397</v>
      </c>
      <c r="D35" s="832" t="s">
        <v>1396</v>
      </c>
      <c r="E35" s="540" t="s">
        <v>1555</v>
      </c>
      <c r="F35" s="543" t="s">
        <v>45</v>
      </c>
      <c r="G35" s="1116">
        <v>2026</v>
      </c>
      <c r="H35" s="92"/>
      <c r="I35" s="92"/>
      <c r="J35" s="92" t="s">
        <v>45</v>
      </c>
      <c r="K35" s="92"/>
      <c r="L35" s="92"/>
      <c r="M35" s="92"/>
      <c r="N35" s="92"/>
      <c r="O35" s="1115"/>
      <c r="P35" s="1132" t="s">
        <v>1551</v>
      </c>
      <c r="Q35" s="405">
        <v>0.99999990000000005</v>
      </c>
      <c r="R35" s="405"/>
      <c r="S35" s="405"/>
      <c r="T35" s="405"/>
      <c r="U35" s="1139"/>
      <c r="V35" s="418"/>
      <c r="W35">
        <f t="shared" si="3"/>
        <v>26</v>
      </c>
      <c r="Y35" t="s">
        <v>45</v>
      </c>
      <c r="AA35" t="s">
        <v>2424</v>
      </c>
    </row>
    <row r="36" spans="2:34" x14ac:dyDescent="0.35">
      <c r="B36">
        <f t="shared" si="2"/>
        <v>27</v>
      </c>
      <c r="C36" s="23" t="s">
        <v>2065</v>
      </c>
      <c r="D36" s="832" t="s">
        <v>1711</v>
      </c>
      <c r="E36" s="540" t="s">
        <v>45</v>
      </c>
      <c r="F36" s="543"/>
      <c r="G36" s="1116"/>
      <c r="H36" s="92"/>
      <c r="I36" s="92"/>
      <c r="J36" s="92" t="s">
        <v>45</v>
      </c>
      <c r="K36" s="92"/>
      <c r="L36" s="92"/>
      <c r="M36" s="92"/>
      <c r="N36" s="92"/>
      <c r="O36" s="1115"/>
      <c r="P36" s="1132" t="s">
        <v>1716</v>
      </c>
      <c r="Q36" s="1133" t="s">
        <v>2010</v>
      </c>
      <c r="R36" s="1133"/>
      <c r="S36" s="405" t="s">
        <v>45</v>
      </c>
      <c r="T36" s="405"/>
      <c r="U36" s="1139"/>
      <c r="V36" s="418"/>
      <c r="W36">
        <f t="shared" si="3"/>
        <v>27</v>
      </c>
      <c r="X36" s="14" t="s">
        <v>1717</v>
      </c>
      <c r="Y36" t="s">
        <v>45</v>
      </c>
    </row>
    <row r="37" spans="2:34" ht="15" thickBot="1" x14ac:dyDescent="0.4">
      <c r="B37">
        <f t="shared" si="2"/>
        <v>28</v>
      </c>
      <c r="C37" s="23"/>
      <c r="D37" s="832"/>
      <c r="E37" s="540"/>
      <c r="F37" s="543"/>
      <c r="G37" s="1116"/>
      <c r="H37" s="92"/>
      <c r="I37" s="92"/>
      <c r="J37" s="92"/>
      <c r="K37" s="92"/>
      <c r="L37" s="92"/>
      <c r="M37" s="92"/>
      <c r="N37" s="92"/>
      <c r="O37" s="1115"/>
      <c r="P37" s="1132"/>
      <c r="Q37" s="405"/>
      <c r="R37" s="405"/>
      <c r="S37" s="405"/>
      <c r="T37" s="405"/>
      <c r="U37" s="1139"/>
      <c r="V37" s="418"/>
      <c r="W37">
        <f t="shared" si="3"/>
        <v>28</v>
      </c>
      <c r="Y37" t="s">
        <v>45</v>
      </c>
    </row>
    <row r="38" spans="2:34" s="16" customFormat="1" ht="21.5" thickTop="1" x14ac:dyDescent="0.5">
      <c r="B38">
        <f t="shared" si="2"/>
        <v>29</v>
      </c>
      <c r="C38" s="702" t="s">
        <v>3101</v>
      </c>
      <c r="D38" s="703"/>
      <c r="E38" s="827"/>
      <c r="F38" s="704"/>
      <c r="G38" s="1117"/>
      <c r="H38" s="1118"/>
      <c r="I38" s="1118"/>
      <c r="J38" s="1118"/>
      <c r="K38" s="1118"/>
      <c r="L38" s="1118"/>
      <c r="M38" s="1118"/>
      <c r="N38" s="1118"/>
      <c r="O38" s="1119"/>
      <c r="P38" s="827"/>
      <c r="Q38" s="1140"/>
      <c r="R38" s="1140"/>
      <c r="S38" s="1140"/>
      <c r="T38" s="1140"/>
      <c r="U38" s="1141"/>
      <c r="V38" s="704"/>
      <c r="W38">
        <f t="shared" si="3"/>
        <v>29</v>
      </c>
      <c r="Y38" s="16" t="s">
        <v>45</v>
      </c>
      <c r="AG38" s="705"/>
      <c r="AH38" s="705"/>
    </row>
    <row r="39" spans="2:34" x14ac:dyDescent="0.35">
      <c r="B39">
        <f t="shared" si="2"/>
        <v>30</v>
      </c>
      <c r="C39" s="23" t="s">
        <v>1210</v>
      </c>
      <c r="D39" s="832" t="s">
        <v>1168</v>
      </c>
      <c r="E39" s="540" t="s">
        <v>2330</v>
      </c>
      <c r="F39" s="543" t="s">
        <v>45</v>
      </c>
      <c r="G39" s="1114" t="s">
        <v>2874</v>
      </c>
      <c r="H39" s="92" t="s">
        <v>1503</v>
      </c>
      <c r="I39" s="92"/>
      <c r="J39" s="92" t="s">
        <v>45</v>
      </c>
      <c r="K39" s="92"/>
      <c r="L39" s="92"/>
      <c r="M39" s="92"/>
      <c r="N39" s="92"/>
      <c r="O39" s="1115"/>
      <c r="P39" s="1132" t="s">
        <v>1506</v>
      </c>
      <c r="Q39" s="405" t="s">
        <v>45</v>
      </c>
      <c r="R39" s="405"/>
      <c r="S39" s="405"/>
      <c r="T39" s="405"/>
      <c r="U39" s="1139"/>
      <c r="V39" s="418"/>
      <c r="W39">
        <f t="shared" si="3"/>
        <v>30</v>
      </c>
      <c r="Y39" t="s">
        <v>45</v>
      </c>
      <c r="AG39" s="421"/>
      <c r="AH39" s="426"/>
    </row>
    <row r="40" spans="2:34" x14ac:dyDescent="0.35">
      <c r="B40">
        <f t="shared" si="2"/>
        <v>31</v>
      </c>
      <c r="C40" s="23" t="s">
        <v>1209</v>
      </c>
      <c r="D40" s="832" t="s">
        <v>1189</v>
      </c>
      <c r="E40" s="540" t="s">
        <v>45</v>
      </c>
      <c r="F40" s="543"/>
      <c r="G40" s="1116" t="s">
        <v>1200</v>
      </c>
      <c r="H40" s="92"/>
      <c r="I40" s="92"/>
      <c r="J40" s="92" t="s">
        <v>45</v>
      </c>
      <c r="K40" s="92"/>
      <c r="L40" s="92"/>
      <c r="M40" s="92"/>
      <c r="N40" s="92"/>
      <c r="O40" s="1115"/>
      <c r="P40" s="1132" t="s">
        <v>1506</v>
      </c>
      <c r="Q40" s="405" t="s">
        <v>1390</v>
      </c>
      <c r="R40" s="405"/>
      <c r="S40" s="405"/>
      <c r="T40" s="405"/>
      <c r="U40" s="1139"/>
      <c r="V40" s="418"/>
      <c r="W40">
        <f t="shared" si="3"/>
        <v>31</v>
      </c>
      <c r="Y40" t="s">
        <v>45</v>
      </c>
      <c r="AG40" s="421"/>
      <c r="AH40" s="426"/>
    </row>
    <row r="41" spans="2:34" x14ac:dyDescent="0.35">
      <c r="B41">
        <f t="shared" si="2"/>
        <v>32</v>
      </c>
      <c r="C41" s="23" t="s">
        <v>1208</v>
      </c>
      <c r="D41" s="832" t="s">
        <v>1166</v>
      </c>
      <c r="E41" s="540" t="s">
        <v>1164</v>
      </c>
      <c r="F41" s="543" t="s">
        <v>1165</v>
      </c>
      <c r="G41" s="1120" t="s">
        <v>1187</v>
      </c>
      <c r="H41" s="430" t="s">
        <v>1167</v>
      </c>
      <c r="I41" s="92"/>
      <c r="J41" s="92" t="s">
        <v>45</v>
      </c>
      <c r="K41" s="430"/>
      <c r="L41" s="430"/>
      <c r="M41" s="430"/>
      <c r="N41" s="92">
        <v>2040</v>
      </c>
      <c r="O41" s="1115"/>
      <c r="P41" s="1132" t="s">
        <v>1508</v>
      </c>
      <c r="Q41" s="405" t="s">
        <v>1392</v>
      </c>
      <c r="R41" s="405"/>
      <c r="S41" s="405"/>
      <c r="T41" s="405"/>
      <c r="U41" s="1139"/>
      <c r="V41" s="53"/>
      <c r="W41">
        <f t="shared" si="3"/>
        <v>32</v>
      </c>
      <c r="X41" t="s">
        <v>1162</v>
      </c>
      <c r="Y41" t="s">
        <v>45</v>
      </c>
      <c r="AC41" s="8"/>
      <c r="AD41" s="8"/>
      <c r="AE41" s="8"/>
      <c r="AF41" s="8"/>
      <c r="AG41" s="421"/>
      <c r="AH41" s="426"/>
    </row>
    <row r="42" spans="2:34" x14ac:dyDescent="0.35">
      <c r="B42">
        <f t="shared" si="2"/>
        <v>33</v>
      </c>
      <c r="C42" s="23" t="s">
        <v>1207</v>
      </c>
      <c r="D42" s="832" t="s">
        <v>1169</v>
      </c>
      <c r="E42" s="540" t="s">
        <v>45</v>
      </c>
      <c r="F42" s="543"/>
      <c r="G42" s="1116"/>
      <c r="H42" s="92"/>
      <c r="I42" s="92"/>
      <c r="J42" s="92" t="s">
        <v>45</v>
      </c>
      <c r="K42" s="92"/>
      <c r="L42" s="92"/>
      <c r="M42" s="92"/>
      <c r="N42" s="92"/>
      <c r="O42" s="1115"/>
      <c r="P42" s="1132"/>
      <c r="Q42" s="405"/>
      <c r="R42" s="405"/>
      <c r="S42" s="405"/>
      <c r="T42" s="405"/>
      <c r="U42" s="1139"/>
      <c r="V42" s="418"/>
      <c r="W42">
        <f t="shared" si="3"/>
        <v>33</v>
      </c>
      <c r="Y42" t="s">
        <v>45</v>
      </c>
      <c r="AC42" s="8"/>
      <c r="AD42" s="8"/>
      <c r="AE42" s="8"/>
      <c r="AF42" s="8"/>
      <c r="AG42" s="421"/>
      <c r="AH42" s="426"/>
    </row>
    <row r="43" spans="2:34" x14ac:dyDescent="0.35">
      <c r="B43">
        <f t="shared" si="2"/>
        <v>34</v>
      </c>
      <c r="C43" s="23" t="s">
        <v>1205</v>
      </c>
      <c r="D43" s="832" t="s">
        <v>1178</v>
      </c>
      <c r="E43" s="540" t="s">
        <v>45</v>
      </c>
      <c r="F43" s="543"/>
      <c r="G43" s="1116"/>
      <c r="H43" s="92"/>
      <c r="I43" s="92"/>
      <c r="J43" s="92" t="s">
        <v>45</v>
      </c>
      <c r="K43" s="92"/>
      <c r="L43" s="92"/>
      <c r="M43" s="92"/>
      <c r="N43" s="92"/>
      <c r="O43" s="1115"/>
      <c r="P43" s="1132"/>
      <c r="Q43" s="405"/>
      <c r="R43" s="405"/>
      <c r="S43" s="405"/>
      <c r="T43" s="405"/>
      <c r="U43" s="1139"/>
      <c r="V43" s="418"/>
      <c r="W43">
        <f t="shared" si="3"/>
        <v>34</v>
      </c>
      <c r="Y43" t="s">
        <v>45</v>
      </c>
      <c r="AC43" s="8"/>
      <c r="AD43" s="8"/>
      <c r="AE43" s="8"/>
      <c r="AF43" s="8"/>
      <c r="AG43" s="421"/>
      <c r="AH43" s="426"/>
    </row>
    <row r="44" spans="2:34" x14ac:dyDescent="0.35">
      <c r="B44">
        <f t="shared" si="2"/>
        <v>35</v>
      </c>
      <c r="C44" s="23" t="s">
        <v>1325</v>
      </c>
      <c r="D44" s="832" t="s">
        <v>1326</v>
      </c>
      <c r="E44" s="540" t="s">
        <v>45</v>
      </c>
      <c r="F44" s="543"/>
      <c r="G44" s="1116">
        <v>2031</v>
      </c>
      <c r="H44" s="92"/>
      <c r="I44" s="92"/>
      <c r="J44" s="92" t="s">
        <v>45</v>
      </c>
      <c r="K44" s="92"/>
      <c r="L44" s="92"/>
      <c r="M44" s="92"/>
      <c r="N44" s="92"/>
      <c r="O44" s="1115"/>
      <c r="P44" s="1132"/>
      <c r="Q44" s="405"/>
      <c r="R44" s="405"/>
      <c r="S44" s="405"/>
      <c r="T44" s="405"/>
      <c r="U44" s="1139"/>
      <c r="V44" s="418"/>
      <c r="W44">
        <f t="shared" si="3"/>
        <v>35</v>
      </c>
      <c r="Y44" t="s">
        <v>45</v>
      </c>
      <c r="AC44" s="8"/>
      <c r="AD44" s="8"/>
      <c r="AE44" s="8"/>
      <c r="AF44" s="8"/>
      <c r="AG44" s="421"/>
      <c r="AH44" s="426"/>
    </row>
    <row r="45" spans="2:34" x14ac:dyDescent="0.35">
      <c r="B45">
        <f t="shared" si="2"/>
        <v>36</v>
      </c>
      <c r="C45" s="23" t="s">
        <v>1385</v>
      </c>
      <c r="D45" s="832" t="s">
        <v>1384</v>
      </c>
      <c r="E45" s="540" t="s">
        <v>45</v>
      </c>
      <c r="F45" s="543"/>
      <c r="G45" s="1116"/>
      <c r="H45" s="92"/>
      <c r="I45" s="92"/>
      <c r="J45" s="92" t="s">
        <v>45</v>
      </c>
      <c r="K45" s="92"/>
      <c r="L45" s="92"/>
      <c r="M45" s="92"/>
      <c r="N45" s="92"/>
      <c r="O45" s="1115"/>
      <c r="P45" s="1132"/>
      <c r="Q45" s="405"/>
      <c r="R45" s="405"/>
      <c r="S45" s="405"/>
      <c r="T45" s="405"/>
      <c r="U45" s="1139"/>
      <c r="V45" s="418"/>
      <c r="W45">
        <f t="shared" si="3"/>
        <v>36</v>
      </c>
      <c r="Y45" t="s">
        <v>45</v>
      </c>
      <c r="AC45" s="8"/>
      <c r="AD45" s="8"/>
      <c r="AE45" s="8"/>
      <c r="AF45" s="8"/>
      <c r="AG45" s="421"/>
      <c r="AH45" s="426"/>
    </row>
    <row r="46" spans="2:34" x14ac:dyDescent="0.35">
      <c r="B46">
        <f t="shared" si="2"/>
        <v>37</v>
      </c>
      <c r="C46" s="23" t="s">
        <v>2025</v>
      </c>
      <c r="D46" s="832" t="s">
        <v>1982</v>
      </c>
      <c r="E46" s="540" t="s">
        <v>45</v>
      </c>
      <c r="F46" s="543"/>
      <c r="G46" s="1116"/>
      <c r="H46" s="92"/>
      <c r="I46" s="92"/>
      <c r="J46" s="92" t="s">
        <v>45</v>
      </c>
      <c r="K46" s="92"/>
      <c r="L46" s="92"/>
      <c r="M46" s="92"/>
      <c r="N46" s="92"/>
      <c r="O46" s="1115"/>
      <c r="P46" s="1132"/>
      <c r="Q46" s="405"/>
      <c r="R46" s="405"/>
      <c r="S46" s="405"/>
      <c r="T46" s="405"/>
      <c r="U46" s="1139"/>
      <c r="V46" s="418"/>
      <c r="W46">
        <f t="shared" si="3"/>
        <v>37</v>
      </c>
      <c r="X46" s="14" t="s">
        <v>1983</v>
      </c>
      <c r="Y46" t="s">
        <v>45</v>
      </c>
      <c r="AA46" t="s">
        <v>2064</v>
      </c>
      <c r="AC46" s="8"/>
      <c r="AD46" s="8"/>
      <c r="AE46" s="8"/>
      <c r="AF46" s="8"/>
      <c r="AG46" s="421"/>
      <c r="AH46" s="426"/>
    </row>
    <row r="47" spans="2:34" x14ac:dyDescent="0.35">
      <c r="B47">
        <f t="shared" si="2"/>
        <v>38</v>
      </c>
      <c r="C47" s="23" t="s">
        <v>1986</v>
      </c>
      <c r="D47" s="832" t="s">
        <v>1985</v>
      </c>
      <c r="E47" s="540" t="s">
        <v>45</v>
      </c>
      <c r="F47" s="543"/>
      <c r="G47" s="1116"/>
      <c r="H47" s="92"/>
      <c r="I47" s="92"/>
      <c r="J47" s="92" t="s">
        <v>45</v>
      </c>
      <c r="K47" s="92"/>
      <c r="L47" s="92"/>
      <c r="M47" s="92"/>
      <c r="N47" s="92"/>
      <c r="O47" s="1115"/>
      <c r="P47" s="1132"/>
      <c r="Q47" s="405"/>
      <c r="R47" s="405"/>
      <c r="S47" s="405"/>
      <c r="T47" s="405"/>
      <c r="U47" s="1139"/>
      <c r="V47" s="418"/>
      <c r="W47">
        <f t="shared" si="3"/>
        <v>38</v>
      </c>
      <c r="X47" s="14" t="s">
        <v>1984</v>
      </c>
      <c r="Y47" t="s">
        <v>45</v>
      </c>
      <c r="AC47" s="8"/>
      <c r="AD47" s="8"/>
      <c r="AE47" s="8"/>
      <c r="AF47" s="8"/>
      <c r="AG47" s="421"/>
      <c r="AH47" s="426"/>
    </row>
    <row r="48" spans="2:34" x14ac:dyDescent="0.35">
      <c r="B48">
        <f t="shared" si="2"/>
        <v>39</v>
      </c>
      <c r="C48" s="23" t="s">
        <v>1206</v>
      </c>
      <c r="D48" s="832" t="s">
        <v>1190</v>
      </c>
      <c r="E48" s="540" t="s">
        <v>45</v>
      </c>
      <c r="F48" s="543"/>
      <c r="G48" s="1116"/>
      <c r="H48" s="92"/>
      <c r="I48" s="92"/>
      <c r="J48" s="92" t="s">
        <v>45</v>
      </c>
      <c r="K48" s="92"/>
      <c r="L48" s="92"/>
      <c r="M48" s="92"/>
      <c r="N48" s="92"/>
      <c r="O48" s="1115"/>
      <c r="P48" s="1132"/>
      <c r="Q48" s="405"/>
      <c r="R48" s="405"/>
      <c r="S48" s="405"/>
      <c r="T48" s="405"/>
      <c r="U48" s="1139"/>
      <c r="V48" s="418"/>
      <c r="W48">
        <f t="shared" si="3"/>
        <v>39</v>
      </c>
      <c r="Y48" t="s">
        <v>45</v>
      </c>
      <c r="AC48" s="8"/>
      <c r="AD48" s="8"/>
      <c r="AE48" s="8"/>
      <c r="AF48" s="8"/>
      <c r="AG48" s="421"/>
      <c r="AH48" s="426"/>
    </row>
    <row r="49" spans="2:34" x14ac:dyDescent="0.35">
      <c r="B49">
        <f t="shared" si="2"/>
        <v>40</v>
      </c>
      <c r="C49" s="23" t="s">
        <v>1709</v>
      </c>
      <c r="D49" s="832" t="s">
        <v>1708</v>
      </c>
      <c r="E49" s="540" t="s">
        <v>45</v>
      </c>
      <c r="F49" s="543"/>
      <c r="G49" s="1116"/>
      <c r="H49" s="92"/>
      <c r="I49" s="92"/>
      <c r="J49" s="92" t="s">
        <v>45</v>
      </c>
      <c r="K49" s="92"/>
      <c r="L49" s="92"/>
      <c r="M49" s="92"/>
      <c r="N49" s="92"/>
      <c r="O49" s="1115"/>
      <c r="P49" s="1132"/>
      <c r="Q49" s="405"/>
      <c r="R49" s="405"/>
      <c r="S49" s="405"/>
      <c r="T49" s="405"/>
      <c r="U49" s="1139"/>
      <c r="V49" s="418"/>
      <c r="W49">
        <f t="shared" si="3"/>
        <v>40</v>
      </c>
      <c r="X49" s="14" t="s">
        <v>1710</v>
      </c>
      <c r="Y49" t="s">
        <v>45</v>
      </c>
      <c r="AC49" s="8"/>
      <c r="AD49" s="8"/>
      <c r="AE49" s="8"/>
      <c r="AF49" s="8"/>
      <c r="AG49" s="421"/>
      <c r="AH49" s="426"/>
    </row>
    <row r="50" spans="2:34" x14ac:dyDescent="0.35">
      <c r="B50">
        <f t="shared" si="2"/>
        <v>41</v>
      </c>
      <c r="C50" s="23" t="s">
        <v>3002</v>
      </c>
      <c r="D50" s="832" t="s">
        <v>3001</v>
      </c>
      <c r="E50" s="540" t="s">
        <v>45</v>
      </c>
      <c r="F50" s="543"/>
      <c r="G50" s="1116"/>
      <c r="H50" s="92"/>
      <c r="I50" s="92"/>
      <c r="J50" s="92"/>
      <c r="K50" s="92"/>
      <c r="L50" s="92"/>
      <c r="M50" s="92"/>
      <c r="N50" s="92"/>
      <c r="O50" s="1115"/>
      <c r="P50" s="1132"/>
      <c r="Q50" s="405"/>
      <c r="R50" s="405"/>
      <c r="S50" s="405"/>
      <c r="T50" s="405"/>
      <c r="U50" s="1139"/>
      <c r="V50" s="418"/>
      <c r="W50">
        <f t="shared" si="3"/>
        <v>41</v>
      </c>
      <c r="X50" s="14" t="s">
        <v>3003</v>
      </c>
      <c r="Y50" t="s">
        <v>45</v>
      </c>
      <c r="AC50" s="8"/>
      <c r="AD50" s="8"/>
      <c r="AE50" s="8"/>
      <c r="AF50" s="8"/>
      <c r="AG50" s="421"/>
      <c r="AH50" s="426"/>
    </row>
    <row r="51" spans="2:34" x14ac:dyDescent="0.35">
      <c r="B51">
        <f t="shared" si="2"/>
        <v>42</v>
      </c>
      <c r="C51" s="23" t="s">
        <v>1194</v>
      </c>
      <c r="D51" s="832" t="s">
        <v>1191</v>
      </c>
      <c r="E51" s="540" t="s">
        <v>45</v>
      </c>
      <c r="F51" s="543"/>
      <c r="G51" s="1116"/>
      <c r="H51" s="92"/>
      <c r="I51" s="92"/>
      <c r="J51" s="92" t="s">
        <v>45</v>
      </c>
      <c r="K51" s="92"/>
      <c r="L51" s="92"/>
      <c r="M51" s="92"/>
      <c r="N51" s="92"/>
      <c r="O51" s="1115"/>
      <c r="P51" s="1132"/>
      <c r="Q51" s="405"/>
      <c r="R51" s="405"/>
      <c r="S51" s="405"/>
      <c r="T51" s="405"/>
      <c r="U51" s="1139"/>
      <c r="V51" s="418"/>
      <c r="W51">
        <f t="shared" si="3"/>
        <v>42</v>
      </c>
      <c r="Y51" t="s">
        <v>45</v>
      </c>
      <c r="AC51" s="8"/>
      <c r="AD51" s="8"/>
      <c r="AE51" s="8"/>
      <c r="AF51" s="8"/>
      <c r="AG51" s="421"/>
      <c r="AH51" s="426"/>
    </row>
    <row r="52" spans="2:34" x14ac:dyDescent="0.35">
      <c r="B52">
        <f t="shared" si="2"/>
        <v>43</v>
      </c>
      <c r="C52" s="23" t="s">
        <v>1195</v>
      </c>
      <c r="D52" s="832" t="s">
        <v>1192</v>
      </c>
      <c r="E52" s="540" t="s">
        <v>45</v>
      </c>
      <c r="F52" s="543"/>
      <c r="G52" s="1116"/>
      <c r="H52" s="92"/>
      <c r="I52" s="92"/>
      <c r="J52" s="92" t="s">
        <v>45</v>
      </c>
      <c r="K52" s="92"/>
      <c r="L52" s="92"/>
      <c r="M52" s="92"/>
      <c r="N52" s="92"/>
      <c r="O52" s="1115"/>
      <c r="P52" s="1132"/>
      <c r="Q52" s="405"/>
      <c r="R52" s="405"/>
      <c r="S52" s="405"/>
      <c r="T52" s="405"/>
      <c r="U52" s="1139"/>
      <c r="V52" s="418"/>
      <c r="W52">
        <f t="shared" si="3"/>
        <v>43</v>
      </c>
      <c r="Y52" t="s">
        <v>45</v>
      </c>
      <c r="AC52" s="8"/>
      <c r="AD52" s="8"/>
      <c r="AE52" s="8"/>
      <c r="AF52" s="8"/>
      <c r="AG52" s="421"/>
      <c r="AH52" s="426"/>
    </row>
    <row r="53" spans="2:34" x14ac:dyDescent="0.35">
      <c r="B53">
        <f t="shared" si="2"/>
        <v>44</v>
      </c>
      <c r="C53" s="23" t="s">
        <v>1320</v>
      </c>
      <c r="D53" s="832" t="s">
        <v>1319</v>
      </c>
      <c r="E53" s="540" t="s">
        <v>45</v>
      </c>
      <c r="F53" s="543"/>
      <c r="G53" s="1116"/>
      <c r="H53" s="92"/>
      <c r="I53" s="92"/>
      <c r="J53" s="92" t="s">
        <v>45</v>
      </c>
      <c r="K53" s="92"/>
      <c r="L53" s="92"/>
      <c r="M53" s="92"/>
      <c r="N53" s="92"/>
      <c r="O53" s="1115"/>
      <c r="P53" s="1132"/>
      <c r="Q53" s="405"/>
      <c r="R53" s="405"/>
      <c r="S53" s="405"/>
      <c r="T53" s="405"/>
      <c r="U53" s="1139"/>
      <c r="V53" s="418"/>
      <c r="W53">
        <f t="shared" si="3"/>
        <v>44</v>
      </c>
      <c r="Y53" t="s">
        <v>45</v>
      </c>
      <c r="AC53" s="8"/>
      <c r="AD53" s="8"/>
      <c r="AE53" s="8"/>
      <c r="AF53" s="8"/>
      <c r="AG53" s="421"/>
      <c r="AH53" s="426"/>
    </row>
    <row r="54" spans="2:34" x14ac:dyDescent="0.35">
      <c r="B54">
        <f t="shared" si="2"/>
        <v>45</v>
      </c>
      <c r="C54" s="23" t="s">
        <v>1321</v>
      </c>
      <c r="D54" s="832" t="s">
        <v>1295</v>
      </c>
      <c r="E54" s="540" t="s">
        <v>45</v>
      </c>
      <c r="F54" s="543"/>
      <c r="G54" s="1116"/>
      <c r="H54" s="92"/>
      <c r="I54" s="92"/>
      <c r="J54" s="92" t="s">
        <v>45</v>
      </c>
      <c r="K54" s="92"/>
      <c r="L54" s="92"/>
      <c r="M54" s="92"/>
      <c r="N54" s="92"/>
      <c r="O54" s="1115"/>
      <c r="P54" s="1132"/>
      <c r="Q54" s="405"/>
      <c r="R54" s="405"/>
      <c r="S54" s="405"/>
      <c r="T54" s="405"/>
      <c r="U54" s="1139"/>
      <c r="V54" s="418"/>
      <c r="W54">
        <f t="shared" si="3"/>
        <v>45</v>
      </c>
      <c r="X54" s="14" t="s">
        <v>2125</v>
      </c>
      <c r="Y54" t="s">
        <v>45</v>
      </c>
      <c r="AA54" t="s">
        <v>1487</v>
      </c>
      <c r="AB54" t="s">
        <v>45</v>
      </c>
      <c r="AC54" s="8"/>
      <c r="AD54" s="8"/>
      <c r="AE54" s="8"/>
      <c r="AF54" s="8"/>
      <c r="AG54" s="421"/>
      <c r="AH54" s="426"/>
    </row>
    <row r="55" spans="2:34" x14ac:dyDescent="0.35">
      <c r="B55">
        <f t="shared" si="2"/>
        <v>46</v>
      </c>
      <c r="C55" s="23" t="s">
        <v>1393</v>
      </c>
      <c r="D55" s="832" t="s">
        <v>1394</v>
      </c>
      <c r="E55" s="540" t="s">
        <v>45</v>
      </c>
      <c r="F55" s="543"/>
      <c r="G55" s="1116"/>
      <c r="H55" s="92"/>
      <c r="I55" s="92"/>
      <c r="J55" s="92" t="s">
        <v>45</v>
      </c>
      <c r="K55" s="92"/>
      <c r="L55" s="92"/>
      <c r="M55" s="92"/>
      <c r="N55" s="92"/>
      <c r="O55" s="1115"/>
      <c r="P55" s="1132"/>
      <c r="Q55" s="405">
        <v>0.5</v>
      </c>
      <c r="R55" s="405"/>
      <c r="S55" s="405"/>
      <c r="T55" s="405"/>
      <c r="U55" s="1139"/>
      <c r="V55" s="418"/>
      <c r="W55">
        <f t="shared" si="3"/>
        <v>46</v>
      </c>
      <c r="X55" t="s">
        <v>1550</v>
      </c>
      <c r="Y55" t="s">
        <v>45</v>
      </c>
      <c r="AC55" s="8"/>
      <c r="AD55" s="8"/>
      <c r="AE55" s="8"/>
      <c r="AF55" s="8"/>
      <c r="AG55" s="421"/>
      <c r="AH55" s="426"/>
    </row>
    <row r="56" spans="2:34" ht="15" thickBot="1" x14ac:dyDescent="0.4">
      <c r="B56">
        <f t="shared" si="2"/>
        <v>47</v>
      </c>
      <c r="C56" s="23"/>
      <c r="D56" s="833"/>
      <c r="E56" s="540"/>
      <c r="F56" s="543"/>
      <c r="G56" s="1116"/>
      <c r="H56" s="92"/>
      <c r="I56" s="92"/>
      <c r="J56" s="92"/>
      <c r="K56" s="92"/>
      <c r="L56" s="92"/>
      <c r="M56" s="92"/>
      <c r="N56" s="92"/>
      <c r="O56" s="1115"/>
      <c r="P56" s="1132"/>
      <c r="Q56" s="405"/>
      <c r="R56" s="405"/>
      <c r="S56" s="405"/>
      <c r="T56" s="405"/>
      <c r="U56" s="1134"/>
      <c r="V56" s="418"/>
      <c r="W56">
        <f t="shared" si="3"/>
        <v>47</v>
      </c>
      <c r="Y56" t="s">
        <v>45</v>
      </c>
      <c r="AC56" s="8"/>
      <c r="AD56" s="8"/>
      <c r="AE56" s="8"/>
      <c r="AF56" s="8"/>
      <c r="AG56" s="421"/>
      <c r="AH56" s="426"/>
    </row>
    <row r="57" spans="2:34" ht="21.5" thickTop="1" x14ac:dyDescent="0.5">
      <c r="B57">
        <f t="shared" si="2"/>
        <v>48</v>
      </c>
      <c r="C57" s="702" t="s">
        <v>1094</v>
      </c>
      <c r="D57" s="456"/>
      <c r="E57" s="539"/>
      <c r="F57" s="457"/>
      <c r="G57" s="1121"/>
      <c r="H57" s="1122"/>
      <c r="I57" s="1122"/>
      <c r="J57" s="1122"/>
      <c r="K57" s="1122"/>
      <c r="L57" s="1122"/>
      <c r="M57" s="1122"/>
      <c r="N57" s="1122"/>
      <c r="O57" s="1123"/>
      <c r="P57" s="539"/>
      <c r="Q57" s="1142"/>
      <c r="R57" s="1142"/>
      <c r="S57" s="1142"/>
      <c r="T57" s="1142"/>
      <c r="U57" s="1143"/>
      <c r="V57" s="457"/>
      <c r="W57">
        <f t="shared" si="3"/>
        <v>48</v>
      </c>
      <c r="Y57" t="s">
        <v>45</v>
      </c>
      <c r="AC57" s="8"/>
      <c r="AD57" s="8"/>
      <c r="AE57" s="8"/>
      <c r="AF57" s="8"/>
      <c r="AG57" s="37"/>
      <c r="AH57" s="37"/>
    </row>
    <row r="58" spans="2:34" x14ac:dyDescent="0.35">
      <c r="B58">
        <f t="shared" si="2"/>
        <v>49</v>
      </c>
      <c r="C58" s="23" t="s">
        <v>1212</v>
      </c>
      <c r="D58" s="832" t="s">
        <v>1175</v>
      </c>
      <c r="E58" s="540" t="s">
        <v>45</v>
      </c>
      <c r="F58" s="543"/>
      <c r="G58" s="1116"/>
      <c r="H58" s="92"/>
      <c r="I58" s="92"/>
      <c r="J58" s="92" t="s">
        <v>45</v>
      </c>
      <c r="K58" s="92"/>
      <c r="L58" s="92"/>
      <c r="M58" s="92"/>
      <c r="N58" s="92"/>
      <c r="O58" s="1115"/>
      <c r="P58" s="1132" t="s">
        <v>2007</v>
      </c>
      <c r="Q58" s="405" t="s">
        <v>45</v>
      </c>
      <c r="R58" s="405"/>
      <c r="S58" s="405"/>
      <c r="T58" s="405"/>
      <c r="U58" s="1139"/>
      <c r="V58" s="418"/>
      <c r="W58">
        <f t="shared" si="3"/>
        <v>49</v>
      </c>
      <c r="Y58" t="s">
        <v>45</v>
      </c>
      <c r="AC58" s="8"/>
      <c r="AD58" s="8"/>
      <c r="AE58" s="8"/>
      <c r="AF58" s="8"/>
      <c r="AG58" s="421"/>
      <c r="AH58" s="426"/>
    </row>
    <row r="59" spans="2:34" x14ac:dyDescent="0.35">
      <c r="B59">
        <f t="shared" si="2"/>
        <v>50</v>
      </c>
      <c r="C59" s="23" t="s">
        <v>1211</v>
      </c>
      <c r="D59" s="832" t="s">
        <v>1174</v>
      </c>
      <c r="E59" s="540" t="s">
        <v>45</v>
      </c>
      <c r="F59" s="543"/>
      <c r="G59" s="1116"/>
      <c r="H59" s="92"/>
      <c r="I59" s="92"/>
      <c r="J59" s="92" t="s">
        <v>45</v>
      </c>
      <c r="K59" s="92"/>
      <c r="L59" s="92"/>
      <c r="M59" s="92"/>
      <c r="N59" s="92"/>
      <c r="O59" s="1115"/>
      <c r="P59" s="1132" t="s">
        <v>2005</v>
      </c>
      <c r="Q59" s="405" t="s">
        <v>45</v>
      </c>
      <c r="R59" s="405"/>
      <c r="S59" s="405"/>
      <c r="T59" s="405"/>
      <c r="U59" s="1139"/>
      <c r="V59" s="418"/>
      <c r="W59">
        <f t="shared" si="3"/>
        <v>50</v>
      </c>
      <c r="Y59" t="s">
        <v>45</v>
      </c>
      <c r="AC59" s="8"/>
      <c r="AD59" s="8"/>
      <c r="AE59" s="8"/>
      <c r="AF59" s="8"/>
      <c r="AG59" s="421"/>
      <c r="AH59" s="426"/>
    </row>
    <row r="60" spans="2:34" ht="15" thickBot="1" x14ac:dyDescent="0.4">
      <c r="B60">
        <f t="shared" si="2"/>
        <v>51</v>
      </c>
      <c r="C60" s="27"/>
      <c r="D60" s="834"/>
      <c r="E60" s="1096"/>
      <c r="F60" s="1097"/>
      <c r="G60" s="1124"/>
      <c r="H60" s="675"/>
      <c r="I60" s="675"/>
      <c r="J60" s="675"/>
      <c r="K60" s="675"/>
      <c r="L60" s="675"/>
      <c r="M60" s="675"/>
      <c r="N60" s="675"/>
      <c r="O60" s="1125"/>
      <c r="P60" s="1135"/>
      <c r="Q60" s="1136"/>
      <c r="R60" s="1136"/>
      <c r="S60" s="1136"/>
      <c r="T60" s="1136"/>
      <c r="U60" s="1144"/>
      <c r="V60" s="730"/>
      <c r="W60">
        <f t="shared" si="3"/>
        <v>51</v>
      </c>
      <c r="Y60" t="s">
        <v>45</v>
      </c>
      <c r="AC60" s="8"/>
      <c r="AD60" s="8"/>
      <c r="AE60" s="8"/>
      <c r="AF60" s="8"/>
      <c r="AG60" s="421"/>
      <c r="AH60" s="426"/>
    </row>
    <row r="61" spans="2:34" ht="15" thickTop="1" x14ac:dyDescent="0.35">
      <c r="C61" s="819" t="s">
        <v>2407</v>
      </c>
      <c r="G61" s="14" t="s">
        <v>2408</v>
      </c>
    </row>
    <row r="63" spans="2:34" x14ac:dyDescent="0.35">
      <c r="C63" s="44"/>
      <c r="D63" s="44"/>
    </row>
    <row r="67" spans="2:34" ht="24" thickBot="1" x14ac:dyDescent="0.6">
      <c r="C67" s="11" t="s">
        <v>38</v>
      </c>
      <c r="D67" s="11"/>
    </row>
    <row r="68" spans="2:34" ht="24.5" thickTop="1" thickBot="1" x14ac:dyDescent="0.6">
      <c r="C68" s="853"/>
      <c r="D68" s="854"/>
      <c r="E68" s="848" t="str">
        <f>E6</f>
        <v xml:space="preserve">AI definitions </v>
      </c>
      <c r="F68" s="858"/>
      <c r="G68" s="847" t="str">
        <f>G6</f>
        <v>Expected timelines for AGI</v>
      </c>
      <c r="H68" s="847"/>
      <c r="I68" s="847"/>
      <c r="J68" s="847"/>
      <c r="K68" s="847"/>
      <c r="L68" s="847"/>
      <c r="M68" s="847"/>
      <c r="N68" s="847"/>
      <c r="O68" s="859"/>
      <c r="P68" s="846" t="str">
        <f>P6</f>
        <v>Opinions about AGI</v>
      </c>
      <c r="Q68" s="835"/>
      <c r="R68" s="835"/>
      <c r="S68" s="835"/>
      <c r="T68" s="835"/>
      <c r="U68" s="835"/>
      <c r="V68" s="836"/>
    </row>
    <row r="69" spans="2:34" ht="15" thickTop="1" x14ac:dyDescent="0.35">
      <c r="C69" s="855"/>
      <c r="D69" s="856" t="str">
        <f>D7</f>
        <v>Who they</v>
      </c>
      <c r="E69" s="850" t="str">
        <f>E7</f>
        <v>Definition of AGI</v>
      </c>
      <c r="F69" s="850" t="str">
        <f>F7</f>
        <v>Definition of ASI</v>
      </c>
      <c r="G69" s="860" t="str">
        <f>G7</f>
        <v>When AGI?</v>
      </c>
      <c r="H69" s="823" t="str">
        <f>H7</f>
        <v>When ASI?</v>
      </c>
      <c r="I69" s="823"/>
      <c r="J69" s="823" t="str">
        <f t="shared" ref="J69:L71" si="4">J7</f>
        <v>When will datacenter AGI brains and</v>
      </c>
      <c r="K69" s="823" t="str">
        <f t="shared" si="4"/>
        <v>When will AGI level humanoids be</v>
      </c>
      <c r="L69" s="823" t="str">
        <f t="shared" si="4"/>
        <v>When will AGI level humanoids</v>
      </c>
      <c r="M69" s="823"/>
      <c r="N69" s="823" t="str">
        <f t="shared" ref="N69:O71" si="5">N7</f>
        <v>When will there be</v>
      </c>
      <c r="O69" s="823" t="str">
        <f t="shared" si="5"/>
        <v>When will Mars or Moon</v>
      </c>
      <c r="P69" s="837" t="str">
        <f>P7</f>
        <v>Stance on</v>
      </c>
      <c r="Q69" s="837" t="str">
        <f>Q7</f>
        <v>p(doom)</v>
      </c>
      <c r="R69" s="837"/>
      <c r="S69" s="837" t="str">
        <f t="shared" ref="S69:U71" si="6">S7</f>
        <v>Stance on the</v>
      </c>
      <c r="T69" s="837" t="str">
        <f t="shared" si="6"/>
        <v>Stance on</v>
      </c>
      <c r="U69" s="838" t="str">
        <f t="shared" si="6"/>
        <v xml:space="preserve">Stance on technological civilization </v>
      </c>
      <c r="V69" s="839"/>
    </row>
    <row r="70" spans="2:34" x14ac:dyDescent="0.35">
      <c r="C70" s="23"/>
      <c r="D70" s="833" t="str">
        <f>D8</f>
        <v xml:space="preserve">are by </v>
      </c>
      <c r="E70" s="851" t="str">
        <f>E8</f>
        <v>Artificial General</v>
      </c>
      <c r="F70" s="851" t="str">
        <f>F8</f>
        <v>Artificial Super</v>
      </c>
      <c r="G70" s="861"/>
      <c r="H70" s="824"/>
      <c r="I70" s="824"/>
      <c r="J70" s="824" t="str">
        <f t="shared" si="4"/>
        <v>android bodies be able to</v>
      </c>
      <c r="K70" s="824" t="str">
        <f t="shared" si="4"/>
        <v xml:space="preserve">able to outperform any human on </v>
      </c>
      <c r="L70" s="824" t="str">
        <f t="shared" si="4"/>
        <v xml:space="preserve">be legally recognized on par </v>
      </c>
      <c r="M70" s="824"/>
      <c r="N70" s="824" t="str">
        <f t="shared" si="5"/>
        <v>more humanoid robots</v>
      </c>
      <c r="O70" s="824" t="str">
        <f t="shared" si="5"/>
        <v xml:space="preserve">have first self-sustaining </v>
      </c>
      <c r="P70" s="840" t="str">
        <f>P8</f>
        <v xml:space="preserve">AI risks and </v>
      </c>
      <c r="Q70" s="840" t="str">
        <f>Q8</f>
        <v>Probability of</v>
      </c>
      <c r="R70" s="840"/>
      <c r="S70" s="840" t="str">
        <f t="shared" si="6"/>
        <v>alignment</v>
      </c>
      <c r="T70" s="840" t="str">
        <f t="shared" si="6"/>
        <v>intelligence</v>
      </c>
      <c r="U70" s="841" t="str">
        <f t="shared" si="6"/>
        <v xml:space="preserve">capable beings in the observable </v>
      </c>
      <c r="V70" s="842"/>
    </row>
    <row r="71" spans="2:34" ht="15" thickBot="1" x14ac:dyDescent="0.4">
      <c r="C71" s="27"/>
      <c r="D71" s="834" t="str">
        <f>D9</f>
        <v>main source</v>
      </c>
      <c r="E71" s="852" t="str">
        <f>E9</f>
        <v>Intelligence</v>
      </c>
      <c r="F71" s="852" t="str">
        <f>F9</f>
        <v xml:space="preserve">Intelligence </v>
      </c>
      <c r="G71" s="862"/>
      <c r="H71" s="825"/>
      <c r="I71" s="825"/>
      <c r="J71" s="825" t="str">
        <f t="shared" si="4"/>
        <v>outperform any human work? (the idea is that an AGI at the datacenter with no limits on power and space will remote control nearby androids (so signal latency is below 1ms) that have the agility of a human body in every regard so they can perform all work both physical and cognitive that any human can do even the most intelligent and most athletic humans)</v>
      </c>
      <c r="K71" s="825" t="str">
        <f t="shared" si="4"/>
        <v>any work with internal AGI brain? (internal AGI brain means the humanoid robot/artificial human can do all of its thinking and movements using internal chips in its body without any help from a remote datacenter)</v>
      </c>
      <c r="L71" s="825" t="str">
        <f t="shared" si="4"/>
        <v>with biological humans?</v>
      </c>
      <c r="M71" s="825"/>
      <c r="N71" s="825" t="str">
        <f t="shared" si="5"/>
        <v>than humans on Earth?</v>
      </c>
      <c r="O71" s="825" t="str">
        <f t="shared" si="5"/>
        <v>technological civilization?</v>
      </c>
      <c r="P71" s="843" t="str">
        <f>P9</f>
        <v>benefits</v>
      </c>
      <c r="Q71" s="843" t="str">
        <f>Q9</f>
        <v>very bad AGI</v>
      </c>
      <c r="R71" s="843"/>
      <c r="S71" s="843" t="str">
        <f t="shared" si="6"/>
        <v>problem</v>
      </c>
      <c r="T71" s="843" t="str">
        <f t="shared" si="6"/>
        <v>and morality</v>
      </c>
      <c r="U71" s="844" t="str">
        <f t="shared" si="6"/>
        <v>universe: The Fermi paradox - The paradox that the observable universe has about 2 trillion galaxies with 100 million solar systems on average and has existed in 13.8 billion years but only evidence of life is Earth itself.</v>
      </c>
      <c r="V71" s="845"/>
    </row>
    <row r="72" spans="2:34" ht="21.5" thickTop="1" x14ac:dyDescent="0.5">
      <c r="B72">
        <v>1</v>
      </c>
      <c r="C72" s="702" t="str">
        <f>C10</f>
        <v>HM, Arcprize &amp; Metaculus on AI</v>
      </c>
      <c r="D72" s="456"/>
      <c r="E72" s="782"/>
      <c r="F72" s="772"/>
      <c r="G72" s="857"/>
      <c r="H72" s="772" t="s">
        <v>2418</v>
      </c>
      <c r="I72" s="771"/>
      <c r="J72" s="771"/>
      <c r="K72" s="771"/>
      <c r="L72" s="771"/>
      <c r="M72" s="771"/>
      <c r="N72" s="771"/>
      <c r="O72" s="771"/>
      <c r="P72" s="773"/>
      <c r="Q72" s="774"/>
      <c r="R72" s="774"/>
      <c r="S72" s="774"/>
      <c r="T72" s="774"/>
      <c r="U72" s="826"/>
      <c r="V72" s="460"/>
      <c r="W72">
        <v>1</v>
      </c>
      <c r="Y72" t="s">
        <v>45</v>
      </c>
      <c r="AC72" s="8"/>
      <c r="AD72" s="8"/>
      <c r="AE72" s="8"/>
      <c r="AF72" s="8"/>
      <c r="AG72" s="421"/>
      <c r="AH72" s="426"/>
    </row>
    <row r="73" spans="2:34" x14ac:dyDescent="0.35">
      <c r="B73">
        <f t="shared" ref="B73:B122" si="7">B72+1</f>
        <v>2</v>
      </c>
      <c r="C73" s="23" t="str">
        <f>C11</f>
        <v>Henrik Mathiesen</v>
      </c>
      <c r="D73" s="391" t="s">
        <v>1171</v>
      </c>
      <c r="E73" s="863" t="s">
        <v>45</v>
      </c>
      <c r="F73" s="777"/>
      <c r="G73" s="864"/>
      <c r="H73" s="781"/>
      <c r="I73" s="781"/>
      <c r="J73" s="864"/>
      <c r="K73" s="781"/>
      <c r="L73" s="781"/>
      <c r="M73" s="781"/>
      <c r="N73" s="781"/>
      <c r="O73" s="781"/>
      <c r="P73" s="778"/>
      <c r="Q73" s="779"/>
      <c r="R73" s="779"/>
      <c r="S73" s="780"/>
      <c r="T73" s="780"/>
      <c r="U73" s="828"/>
      <c r="V73" s="53"/>
      <c r="W73">
        <f t="shared" ref="W73:W122" si="8">W72+1</f>
        <v>2</v>
      </c>
      <c r="Y73" t="s">
        <v>45</v>
      </c>
      <c r="AC73" s="8"/>
      <c r="AD73" s="8"/>
      <c r="AE73" s="8"/>
      <c r="AF73" s="8"/>
      <c r="AG73" s="421"/>
      <c r="AH73" s="424"/>
    </row>
    <row r="74" spans="2:34" x14ac:dyDescent="0.35">
      <c r="B74">
        <f t="shared" si="7"/>
        <v>3</v>
      </c>
      <c r="C74" s="23" t="str">
        <f>C12</f>
        <v>Arcprize</v>
      </c>
      <c r="D74" s="391" t="s">
        <v>2788</v>
      </c>
      <c r="E74" s="995" t="s">
        <v>2791</v>
      </c>
      <c r="F74" s="777" t="s">
        <v>45</v>
      </c>
      <c r="G74" s="994"/>
      <c r="H74" s="781"/>
      <c r="I74" s="781"/>
      <c r="J74" s="864"/>
      <c r="K74" s="781"/>
      <c r="L74" s="781"/>
      <c r="M74" s="781"/>
      <c r="N74" s="781"/>
      <c r="O74" s="781"/>
      <c r="P74" s="778"/>
      <c r="Q74" s="779"/>
      <c r="R74" s="779"/>
      <c r="S74" s="780"/>
      <c r="T74" s="780"/>
      <c r="U74" s="828"/>
      <c r="V74" s="53"/>
      <c r="W74">
        <f t="shared" si="8"/>
        <v>3</v>
      </c>
      <c r="AC74" s="8"/>
      <c r="AD74" s="8"/>
      <c r="AE74" s="8"/>
      <c r="AF74" s="8"/>
      <c r="AG74" s="421"/>
      <c r="AH74" s="424"/>
    </row>
    <row r="75" spans="2:34" ht="15" thickBot="1" x14ac:dyDescent="0.4">
      <c r="B75">
        <f t="shared" si="7"/>
        <v>4</v>
      </c>
      <c r="C75" s="27" t="s">
        <v>2419</v>
      </c>
      <c r="D75" s="396" t="s">
        <v>2420</v>
      </c>
      <c r="E75" s="870" t="s">
        <v>2137</v>
      </c>
      <c r="F75" s="870" t="s">
        <v>2422</v>
      </c>
      <c r="G75" s="869" t="s">
        <v>2137</v>
      </c>
      <c r="H75" s="871" t="s">
        <v>2422</v>
      </c>
      <c r="I75" s="865"/>
      <c r="J75" s="865" t="s">
        <v>45</v>
      </c>
      <c r="K75" s="865"/>
      <c r="L75" s="865"/>
      <c r="M75" s="865"/>
      <c r="N75" s="865"/>
      <c r="O75" s="865"/>
      <c r="P75" s="775"/>
      <c r="Q75" s="776"/>
      <c r="R75" s="776"/>
      <c r="S75" s="866"/>
      <c r="T75" s="866"/>
      <c r="U75" s="867"/>
      <c r="V75" s="868"/>
      <c r="W75">
        <f t="shared" si="8"/>
        <v>4</v>
      </c>
      <c r="AC75" s="8"/>
      <c r="AD75" s="8"/>
      <c r="AE75" s="8"/>
      <c r="AF75" s="8"/>
      <c r="AG75" s="421"/>
      <c r="AH75" s="424"/>
    </row>
    <row r="76" spans="2:34" s="16" customFormat="1" ht="21.5" thickTop="1" x14ac:dyDescent="0.5">
      <c r="B76">
        <f t="shared" si="7"/>
        <v>5</v>
      </c>
      <c r="C76" s="699" t="str">
        <f t="shared" ref="C76:C98" si="9">C14</f>
        <v>Key academics or researchers in AI - Dominant opinion: Human level AGI will happen 2030 to 2035 with 50% probability</v>
      </c>
      <c r="D76" s="700"/>
      <c r="E76" s="784"/>
      <c r="F76" s="783"/>
      <c r="G76" s="783"/>
      <c r="H76" s="783"/>
      <c r="I76" s="783"/>
      <c r="J76" s="783"/>
      <c r="K76" s="783"/>
      <c r="L76" s="783"/>
      <c r="M76" s="783"/>
      <c r="N76" s="783"/>
      <c r="O76" s="783"/>
      <c r="P76" s="783"/>
      <c r="Q76" s="783"/>
      <c r="R76" s="783"/>
      <c r="S76" s="783"/>
      <c r="T76" s="783"/>
      <c r="U76" s="699"/>
      <c r="V76" s="701"/>
      <c r="W76">
        <f t="shared" si="8"/>
        <v>5</v>
      </c>
    </row>
    <row r="77" spans="2:34" ht="16.5" customHeight="1" x14ac:dyDescent="0.35">
      <c r="B77">
        <f t="shared" si="7"/>
        <v>6</v>
      </c>
      <c r="C77" s="23" t="str">
        <f t="shared" si="9"/>
        <v xml:space="preserve">Raymond Kurzweil, the person in the world with the best track record at predicting the future and the person alive who spend the longest time 60 years or so researching AI. </v>
      </c>
      <c r="D77" s="833" t="s">
        <v>45</v>
      </c>
      <c r="E77" s="785" t="s">
        <v>2243</v>
      </c>
      <c r="F77" s="788" t="s">
        <v>2237</v>
      </c>
      <c r="G77" s="492" t="s">
        <v>2284</v>
      </c>
      <c r="H77" s="789" t="s">
        <v>1484</v>
      </c>
      <c r="I77" s="487"/>
      <c r="J77" s="787" t="s">
        <v>45</v>
      </c>
      <c r="K77" s="789"/>
      <c r="L77" s="789"/>
      <c r="M77" s="789"/>
      <c r="N77" s="487" t="s">
        <v>45</v>
      </c>
      <c r="O77" s="487"/>
      <c r="P77" s="790" t="s">
        <v>1485</v>
      </c>
      <c r="Q77" s="786" t="s">
        <v>1401</v>
      </c>
      <c r="R77" s="786"/>
      <c r="S77" s="786" t="s">
        <v>45</v>
      </c>
      <c r="T77" s="786"/>
      <c r="U77" s="829" t="s">
        <v>2029</v>
      </c>
      <c r="V77" s="126"/>
      <c r="W77">
        <f t="shared" si="8"/>
        <v>6</v>
      </c>
    </row>
    <row r="78" spans="2:34" x14ac:dyDescent="0.35">
      <c r="B78">
        <f t="shared" si="7"/>
        <v>7</v>
      </c>
      <c r="C78" s="23" t="str">
        <f t="shared" si="9"/>
        <v>Jürgen Schmidhuber, professor huge contributions in AI algorithms, scientific director of top AI lab Dalle Molle Institute for Artificial Intelligence Research in Switzerland</v>
      </c>
      <c r="D78" s="833" t="s">
        <v>45</v>
      </c>
      <c r="E78" s="786" t="s">
        <v>2021</v>
      </c>
      <c r="F78" s="791" t="s">
        <v>45</v>
      </c>
      <c r="G78" s="487" t="s">
        <v>2017</v>
      </c>
      <c r="H78" s="487" t="s">
        <v>2018</v>
      </c>
      <c r="I78" s="487"/>
      <c r="J78" s="787" t="s">
        <v>45</v>
      </c>
      <c r="K78" s="487"/>
      <c r="L78" s="487"/>
      <c r="M78" s="487"/>
      <c r="N78" s="487" t="s">
        <v>45</v>
      </c>
      <c r="O78" s="487" t="s">
        <v>2028</v>
      </c>
      <c r="P78" s="786" t="s">
        <v>1202</v>
      </c>
      <c r="Q78" s="487" t="s">
        <v>1202</v>
      </c>
      <c r="R78" s="487"/>
      <c r="S78" s="487"/>
      <c r="T78" s="487"/>
      <c r="U78" s="830" t="s">
        <v>2021</v>
      </c>
      <c r="V78" s="126"/>
      <c r="W78">
        <f t="shared" si="8"/>
        <v>7</v>
      </c>
    </row>
    <row r="79" spans="2:34" x14ac:dyDescent="0.35">
      <c r="B79">
        <f t="shared" si="7"/>
        <v>8</v>
      </c>
      <c r="C79" s="23" t="str">
        <f t="shared" si="9"/>
        <v>Geoffrey Hinton, computer scientist and now Nobel Laurate in physics for his contribution to develop AI algorithm</v>
      </c>
      <c r="D79" s="833" t="s">
        <v>45</v>
      </c>
      <c r="E79" s="487" t="s">
        <v>2794</v>
      </c>
      <c r="F79" s="791" t="s">
        <v>2794</v>
      </c>
      <c r="G79" s="487" t="s">
        <v>2013</v>
      </c>
      <c r="H79" s="789" t="s">
        <v>45</v>
      </c>
      <c r="I79" s="487"/>
      <c r="J79" s="787" t="s">
        <v>45</v>
      </c>
      <c r="K79" s="789"/>
      <c r="L79" s="789"/>
      <c r="M79" s="789"/>
      <c r="N79" s="487" t="s">
        <v>45</v>
      </c>
      <c r="O79" s="487"/>
      <c r="P79" s="487"/>
      <c r="Q79" s="786" t="s">
        <v>1389</v>
      </c>
      <c r="R79" s="786"/>
      <c r="S79" s="786"/>
      <c r="T79" s="786" t="s">
        <v>1605</v>
      </c>
      <c r="U79" s="52"/>
      <c r="V79" s="126"/>
      <c r="W79">
        <f t="shared" si="8"/>
        <v>8</v>
      </c>
    </row>
    <row r="80" spans="2:34" x14ac:dyDescent="0.35">
      <c r="B80">
        <f t="shared" si="7"/>
        <v>9</v>
      </c>
      <c r="C80" s="23" t="str">
        <f t="shared" si="9"/>
        <v xml:space="preserve">Demis Hassabis, CEO Google Deep Mind got Nobel price in chemistry for Deep Mind Alpha Fold contribution. In principle he belong under Key business insiders but he acts and talk like an academic and his role as CEO is mostly about mamaging the AI research efforts at Deep Mind rather than a traditional CEO role. </v>
      </c>
      <c r="D80" s="833" t="s">
        <v>45</v>
      </c>
      <c r="E80" s="793" t="s">
        <v>2738</v>
      </c>
      <c r="F80" s="789" t="s">
        <v>45</v>
      </c>
      <c r="G80" s="487" t="s">
        <v>2739</v>
      </c>
      <c r="H80" s="789" t="s">
        <v>45</v>
      </c>
      <c r="I80" s="487"/>
      <c r="J80" s="794" t="s">
        <v>45</v>
      </c>
      <c r="K80" s="789"/>
      <c r="L80" s="789"/>
      <c r="M80" s="789"/>
      <c r="N80" s="487"/>
      <c r="O80" s="487"/>
      <c r="P80" s="487"/>
      <c r="Q80" s="487"/>
      <c r="R80" s="487"/>
      <c r="S80" s="487"/>
      <c r="T80" s="487"/>
      <c r="U80" s="52"/>
      <c r="V80" s="126"/>
      <c r="W80">
        <f t="shared" si="8"/>
        <v>9</v>
      </c>
    </row>
    <row r="81" spans="2:23" x14ac:dyDescent="0.35">
      <c r="B81">
        <f t="shared" si="7"/>
        <v>10</v>
      </c>
      <c r="C81" s="23" t="str">
        <f t="shared" si="9"/>
        <v>Yann LeCun, Chief AI Scientist at Meta, professor at New York University</v>
      </c>
      <c r="D81" s="833" t="s">
        <v>45</v>
      </c>
      <c r="E81" s="487" t="s">
        <v>2796</v>
      </c>
      <c r="F81" s="791" t="s">
        <v>45</v>
      </c>
      <c r="G81" s="786" t="s">
        <v>1680</v>
      </c>
      <c r="H81" s="789" t="s">
        <v>45</v>
      </c>
      <c r="I81" s="487"/>
      <c r="J81" s="787" t="s">
        <v>45</v>
      </c>
      <c r="K81" s="789"/>
      <c r="L81" s="789"/>
      <c r="M81" s="789"/>
      <c r="N81" s="487" t="s">
        <v>45</v>
      </c>
      <c r="O81" s="487"/>
      <c r="P81" s="786" t="s">
        <v>1679</v>
      </c>
      <c r="Q81" s="487" t="s">
        <v>1389</v>
      </c>
      <c r="R81" s="487"/>
      <c r="S81" s="487"/>
      <c r="T81" s="487"/>
      <c r="U81" s="52"/>
      <c r="V81" s="126"/>
      <c r="W81">
        <f t="shared" si="8"/>
        <v>10</v>
      </c>
    </row>
    <row r="82" spans="2:23" x14ac:dyDescent="0.35">
      <c r="B82">
        <f t="shared" si="7"/>
        <v>11</v>
      </c>
      <c r="C82" s="23" t="str">
        <f t="shared" si="9"/>
        <v>Richard Sutton, professor computer science at University of Alberta, founders of AI reinforcement learning</v>
      </c>
      <c r="D82" s="833" t="s">
        <v>45</v>
      </c>
      <c r="E82" s="487" t="s">
        <v>2864</v>
      </c>
      <c r="F82" s="791" t="s">
        <v>45</v>
      </c>
      <c r="G82" s="786" t="s">
        <v>2864</v>
      </c>
      <c r="H82" s="789" t="s">
        <v>45</v>
      </c>
      <c r="I82" s="487"/>
      <c r="J82" s="787" t="s">
        <v>45</v>
      </c>
      <c r="K82" s="789"/>
      <c r="L82" s="789"/>
      <c r="M82" s="789"/>
      <c r="N82" s="487"/>
      <c r="O82" s="487"/>
      <c r="P82" s="487"/>
      <c r="Q82" s="487"/>
      <c r="R82" s="487"/>
      <c r="S82" s="487"/>
      <c r="T82" s="487"/>
      <c r="U82" s="52"/>
      <c r="V82" s="126"/>
      <c r="W82">
        <f t="shared" si="8"/>
        <v>11</v>
      </c>
    </row>
    <row r="83" spans="2:23" x14ac:dyDescent="0.35">
      <c r="B83">
        <f t="shared" si="7"/>
        <v>12</v>
      </c>
      <c r="C83" s="23" t="str">
        <f t="shared" si="9"/>
        <v>Ilya Sutskever, Co-founder OpenAI and has made algorithmic contributions to AI i.e. Alex Net. Sutskever has posited that advanced next-token prediction capabilities in neural networks could be sufficient to achieve AGI. This is in stark contrast to what Yan LeCunn believe.</v>
      </c>
      <c r="D83" s="833" t="s">
        <v>45</v>
      </c>
      <c r="E83" s="487"/>
      <c r="F83" s="791" t="s">
        <v>45</v>
      </c>
      <c r="G83" s="487"/>
      <c r="H83" s="789"/>
      <c r="I83" s="487"/>
      <c r="J83" s="787" t="s">
        <v>45</v>
      </c>
      <c r="K83" s="789"/>
      <c r="L83" s="789"/>
      <c r="M83" s="789"/>
      <c r="N83" s="487"/>
      <c r="O83" s="487"/>
      <c r="P83" s="487"/>
      <c r="Q83" s="487"/>
      <c r="R83" s="487"/>
      <c r="S83" s="487"/>
      <c r="T83" s="487"/>
      <c r="U83" s="52"/>
      <c r="V83" s="126"/>
      <c r="W83">
        <f t="shared" si="8"/>
        <v>12</v>
      </c>
    </row>
    <row r="84" spans="2:23" x14ac:dyDescent="0.35">
      <c r="B84">
        <f t="shared" si="7"/>
        <v>13</v>
      </c>
      <c r="C84" s="23" t="str">
        <f t="shared" si="9"/>
        <v xml:space="preserve">Andrej Karpathy, top AI researcher, developer and leader at OpenAI and Tesla. </v>
      </c>
      <c r="D84" s="833" t="s">
        <v>45</v>
      </c>
      <c r="E84" s="786" t="s">
        <v>1705</v>
      </c>
      <c r="F84" s="791" t="s">
        <v>45</v>
      </c>
      <c r="G84" s="786" t="s">
        <v>1705</v>
      </c>
      <c r="H84" s="789" t="s">
        <v>45</v>
      </c>
      <c r="I84" s="487"/>
      <c r="J84" s="787" t="s">
        <v>45</v>
      </c>
      <c r="K84" s="789"/>
      <c r="L84" s="789"/>
      <c r="M84" s="789"/>
      <c r="N84" s="487"/>
      <c r="O84" s="487"/>
      <c r="P84" s="487"/>
      <c r="Q84" s="487"/>
      <c r="R84" s="487"/>
      <c r="S84" s="487"/>
      <c r="T84" s="487"/>
      <c r="U84" s="52"/>
      <c r="V84" s="126"/>
      <c r="W84">
        <f t="shared" si="8"/>
        <v>13</v>
      </c>
    </row>
    <row r="85" spans="2:23" x14ac:dyDescent="0.35">
      <c r="B85">
        <f t="shared" si="7"/>
        <v>14</v>
      </c>
      <c r="C85" s="23" t="str">
        <f t="shared" si="9"/>
        <v>Yoshua Bengio, professor at University of Montreal</v>
      </c>
      <c r="D85" s="833" t="s">
        <v>45</v>
      </c>
      <c r="E85" s="487"/>
      <c r="F85" s="791" t="s">
        <v>45</v>
      </c>
      <c r="G85" s="792" t="s">
        <v>1593</v>
      </c>
      <c r="H85" s="789" t="s">
        <v>45</v>
      </c>
      <c r="I85" s="487"/>
      <c r="J85" s="787" t="s">
        <v>45</v>
      </c>
      <c r="K85" s="789"/>
      <c r="L85" s="789"/>
      <c r="M85" s="789"/>
      <c r="N85" s="487" t="s">
        <v>45</v>
      </c>
      <c r="O85" s="487"/>
      <c r="P85" s="487"/>
      <c r="Q85" s="487" t="s">
        <v>1713</v>
      </c>
      <c r="R85" s="487"/>
      <c r="S85" s="792" t="s">
        <v>1589</v>
      </c>
      <c r="T85" s="792"/>
      <c r="U85" s="52"/>
      <c r="V85" s="126"/>
      <c r="W85">
        <f t="shared" si="8"/>
        <v>14</v>
      </c>
    </row>
    <row r="86" spans="2:23" x14ac:dyDescent="0.35">
      <c r="B86">
        <f t="shared" si="7"/>
        <v>15</v>
      </c>
      <c r="C86" s="23" t="str">
        <f t="shared" si="9"/>
        <v>François Chollet, top AI researcher at Google renowned for creating the Keras deep-learning library and the ARC-AGI benchmark</v>
      </c>
      <c r="D86" s="833" t="s">
        <v>45</v>
      </c>
      <c r="E86" s="487" t="s">
        <v>2872</v>
      </c>
      <c r="F86" s="791" t="s">
        <v>45</v>
      </c>
      <c r="G86" s="487"/>
      <c r="H86" s="789"/>
      <c r="I86" s="487"/>
      <c r="J86" s="787" t="s">
        <v>45</v>
      </c>
      <c r="K86" s="789"/>
      <c r="L86" s="789"/>
      <c r="M86" s="789"/>
      <c r="N86" s="487"/>
      <c r="O86" s="487"/>
      <c r="P86" s="487"/>
      <c r="Q86" s="487"/>
      <c r="R86" s="487"/>
      <c r="S86" s="487"/>
      <c r="T86" s="487"/>
      <c r="U86" s="52"/>
      <c r="V86" s="126"/>
      <c r="W86">
        <f t="shared" si="8"/>
        <v>15</v>
      </c>
    </row>
    <row r="87" spans="2:23" x14ac:dyDescent="0.35">
      <c r="B87">
        <f t="shared" si="7"/>
        <v>16</v>
      </c>
      <c r="C87" s="23" t="str">
        <f t="shared" si="9"/>
        <v>Nick Bostrom, Oxford University professor in philosophy</v>
      </c>
      <c r="D87" s="833" t="s">
        <v>45</v>
      </c>
      <c r="E87" s="487"/>
      <c r="F87" s="791" t="s">
        <v>45</v>
      </c>
      <c r="G87" s="487"/>
      <c r="H87" s="789"/>
      <c r="I87" s="487"/>
      <c r="J87" s="787" t="s">
        <v>45</v>
      </c>
      <c r="K87" s="789"/>
      <c r="L87" s="789"/>
      <c r="M87" s="789"/>
      <c r="N87" s="487"/>
      <c r="O87" s="487"/>
      <c r="P87" s="487"/>
      <c r="Q87" s="487"/>
      <c r="R87" s="487"/>
      <c r="S87" s="487"/>
      <c r="T87" s="487"/>
      <c r="U87" s="52"/>
      <c r="V87" s="126"/>
      <c r="W87">
        <f t="shared" si="8"/>
        <v>16</v>
      </c>
    </row>
    <row r="88" spans="2:23" x14ac:dyDescent="0.35">
      <c r="B88">
        <f t="shared" si="7"/>
        <v>17</v>
      </c>
      <c r="C88" s="23" t="str">
        <f t="shared" si="9"/>
        <v>Edward O. Wilson, biology professor at Harward University, 1929-2021.</v>
      </c>
      <c r="D88" s="833" t="s">
        <v>45</v>
      </c>
      <c r="E88" s="487"/>
      <c r="F88" s="791"/>
      <c r="G88" s="487"/>
      <c r="H88" s="789"/>
      <c r="I88" s="487"/>
      <c r="J88" s="787"/>
      <c r="K88" s="789"/>
      <c r="L88" s="789"/>
      <c r="M88" s="789"/>
      <c r="N88" s="487"/>
      <c r="O88" s="487"/>
      <c r="P88" s="487"/>
      <c r="Q88" s="487"/>
      <c r="R88" s="487"/>
      <c r="S88" s="487"/>
      <c r="T88" s="487"/>
      <c r="U88" s="52"/>
      <c r="V88" s="126"/>
      <c r="W88">
        <f t="shared" si="8"/>
        <v>17</v>
      </c>
    </row>
    <row r="89" spans="2:23" x14ac:dyDescent="0.35">
      <c r="B89">
        <f t="shared" si="7"/>
        <v>18</v>
      </c>
      <c r="C89" s="23" t="str">
        <f t="shared" si="9"/>
        <v>Max Tegmark, professor MIT Future of Life Institute. Physicist and cosmologist, machine learning researcher and author.</v>
      </c>
      <c r="D89" s="833" t="s">
        <v>45</v>
      </c>
      <c r="E89" s="487"/>
      <c r="F89" s="791" t="s">
        <v>45</v>
      </c>
      <c r="G89" s="487" t="s">
        <v>2136</v>
      </c>
      <c r="H89" s="789" t="s">
        <v>45</v>
      </c>
      <c r="I89" s="487"/>
      <c r="J89" s="787" t="s">
        <v>45</v>
      </c>
      <c r="K89" s="789"/>
      <c r="L89" s="789"/>
      <c r="M89" s="789"/>
      <c r="N89" s="487"/>
      <c r="O89" s="487"/>
      <c r="P89" s="793" t="s">
        <v>1511</v>
      </c>
      <c r="Q89" s="487" t="s">
        <v>45</v>
      </c>
      <c r="R89" s="487"/>
      <c r="S89" s="487"/>
      <c r="T89" s="487"/>
      <c r="U89" s="830" t="s">
        <v>1510</v>
      </c>
      <c r="V89" s="126" t="s">
        <v>45</v>
      </c>
      <c r="W89">
        <f t="shared" si="8"/>
        <v>18</v>
      </c>
    </row>
    <row r="90" spans="2:23" x14ac:dyDescent="0.35">
      <c r="B90">
        <f t="shared" si="7"/>
        <v>19</v>
      </c>
      <c r="C90" s="23" t="str">
        <f t="shared" si="9"/>
        <v>Steven Pinker, professor in psychology Harward U.</v>
      </c>
      <c r="D90" s="833" t="s">
        <v>45</v>
      </c>
      <c r="E90" s="487"/>
      <c r="F90" s="791" t="s">
        <v>45</v>
      </c>
      <c r="G90" s="487"/>
      <c r="H90" s="789"/>
      <c r="I90" s="487"/>
      <c r="J90" s="787" t="s">
        <v>45</v>
      </c>
      <c r="K90" s="789"/>
      <c r="L90" s="789"/>
      <c r="M90" s="789"/>
      <c r="N90" s="487" t="s">
        <v>45</v>
      </c>
      <c r="O90" s="487"/>
      <c r="P90" s="792" t="s">
        <v>1358</v>
      </c>
      <c r="Q90" s="792" t="s">
        <v>45</v>
      </c>
      <c r="R90" s="792"/>
      <c r="S90" s="792"/>
      <c r="T90" s="792"/>
      <c r="U90" s="52"/>
      <c r="V90" s="126"/>
      <c r="W90">
        <f t="shared" si="8"/>
        <v>19</v>
      </c>
    </row>
    <row r="91" spans="2:23" x14ac:dyDescent="0.35">
      <c r="B91">
        <f t="shared" si="7"/>
        <v>20</v>
      </c>
      <c r="C91" s="23" t="str">
        <f t="shared" si="9"/>
        <v>Gary Marcus, professor emeritus NYU</v>
      </c>
      <c r="D91" s="833" t="s">
        <v>45</v>
      </c>
      <c r="E91" s="487"/>
      <c r="F91" s="791" t="s">
        <v>45</v>
      </c>
      <c r="G91" s="487"/>
      <c r="H91" s="789"/>
      <c r="I91" s="487"/>
      <c r="J91" s="787" t="s">
        <v>45</v>
      </c>
      <c r="K91" s="789"/>
      <c r="L91" s="789"/>
      <c r="M91" s="789"/>
      <c r="N91" s="487"/>
      <c r="O91" s="487"/>
      <c r="P91" s="792"/>
      <c r="Q91" s="792"/>
      <c r="R91" s="792"/>
      <c r="S91" s="792"/>
      <c r="T91" s="792"/>
      <c r="U91" s="52"/>
      <c r="V91" s="126"/>
      <c r="W91">
        <f t="shared" si="8"/>
        <v>20</v>
      </c>
    </row>
    <row r="92" spans="2:23" x14ac:dyDescent="0.35">
      <c r="B92">
        <f t="shared" si="7"/>
        <v>21</v>
      </c>
      <c r="C92" s="23" t="str">
        <f t="shared" si="9"/>
        <v>Ben Goertzel, computer scientist and AI researcher</v>
      </c>
      <c r="D92" s="833" t="s">
        <v>45</v>
      </c>
      <c r="E92" s="487"/>
      <c r="F92" s="791" t="s">
        <v>45</v>
      </c>
      <c r="G92" s="786" t="s">
        <v>2167</v>
      </c>
      <c r="H92" s="789" t="s">
        <v>45</v>
      </c>
      <c r="I92" s="487"/>
      <c r="J92" s="787" t="s">
        <v>45</v>
      </c>
      <c r="K92" s="789"/>
      <c r="L92" s="789"/>
      <c r="M92" s="789"/>
      <c r="N92" s="487"/>
      <c r="O92" s="487"/>
      <c r="P92" s="487"/>
      <c r="Q92" s="487"/>
      <c r="R92" s="487"/>
      <c r="S92" s="487"/>
      <c r="T92" s="487"/>
      <c r="U92" s="52"/>
      <c r="V92" s="126"/>
      <c r="W92">
        <f t="shared" si="8"/>
        <v>21</v>
      </c>
    </row>
    <row r="93" spans="2:23" x14ac:dyDescent="0.35">
      <c r="B93">
        <f t="shared" si="7"/>
        <v>22</v>
      </c>
      <c r="C93" s="23" t="str">
        <f t="shared" si="9"/>
        <v>Joscha Bach, AI researcher and philosopher</v>
      </c>
      <c r="D93" s="833" t="s">
        <v>45</v>
      </c>
      <c r="E93" s="487"/>
      <c r="F93" s="791" t="s">
        <v>45</v>
      </c>
      <c r="G93" s="487"/>
      <c r="H93" s="789"/>
      <c r="I93" s="487"/>
      <c r="J93" s="787" t="s">
        <v>45</v>
      </c>
      <c r="K93" s="789"/>
      <c r="L93" s="789"/>
      <c r="M93" s="789"/>
      <c r="N93" s="487"/>
      <c r="O93" s="487"/>
      <c r="P93" s="487"/>
      <c r="Q93" s="487"/>
      <c r="R93" s="487"/>
      <c r="S93" s="487"/>
      <c r="T93" s="487"/>
      <c r="U93" s="52"/>
      <c r="V93" s="126"/>
      <c r="W93">
        <f t="shared" si="8"/>
        <v>22</v>
      </c>
    </row>
    <row r="94" spans="2:23" x14ac:dyDescent="0.35">
      <c r="B94">
        <f t="shared" si="7"/>
        <v>23</v>
      </c>
      <c r="C94" s="23" t="str">
        <f t="shared" si="9"/>
        <v>Eliezer Yudkowsky, Research fellow at the Machine Intelligence Research Institute. Known for his AI doom opinions</v>
      </c>
      <c r="D94" s="833" t="s">
        <v>45</v>
      </c>
      <c r="E94" s="487"/>
      <c r="F94" s="791" t="s">
        <v>45</v>
      </c>
      <c r="G94" s="487"/>
      <c r="H94" s="789"/>
      <c r="I94" s="487"/>
      <c r="J94" s="787" t="s">
        <v>45</v>
      </c>
      <c r="K94" s="789"/>
      <c r="L94" s="789"/>
      <c r="M94" s="789"/>
      <c r="N94" s="487" t="s">
        <v>45</v>
      </c>
      <c r="O94" s="487"/>
      <c r="P94" s="487"/>
      <c r="Q94" s="487" t="s">
        <v>1389</v>
      </c>
      <c r="R94" s="487"/>
      <c r="S94" s="487" t="s">
        <v>45</v>
      </c>
      <c r="T94" s="487"/>
      <c r="U94" s="52"/>
      <c r="V94" s="126"/>
      <c r="W94">
        <f t="shared" si="8"/>
        <v>23</v>
      </c>
    </row>
    <row r="95" spans="2:23" x14ac:dyDescent="0.35">
      <c r="B95">
        <f t="shared" si="7"/>
        <v>24</v>
      </c>
      <c r="C95" s="23" t="str">
        <f t="shared" si="9"/>
        <v>Yuval Noah Harari,  historian professor at Hebrew University Jerusalem</v>
      </c>
      <c r="D95" s="833" t="s">
        <v>45</v>
      </c>
      <c r="E95" s="487"/>
      <c r="F95" s="791" t="s">
        <v>45</v>
      </c>
      <c r="G95" s="487"/>
      <c r="H95" s="789"/>
      <c r="I95" s="487"/>
      <c r="J95" s="787" t="s">
        <v>45</v>
      </c>
      <c r="K95" s="789"/>
      <c r="L95" s="789"/>
      <c r="M95" s="789"/>
      <c r="N95" s="487" t="s">
        <v>45</v>
      </c>
      <c r="O95" s="487"/>
      <c r="P95" s="786" t="s">
        <v>1383</v>
      </c>
      <c r="Q95" s="786" t="s">
        <v>45</v>
      </c>
      <c r="R95" s="786"/>
      <c r="S95" s="786"/>
      <c r="T95" s="786"/>
      <c r="U95" s="52"/>
      <c r="V95" s="126"/>
      <c r="W95">
        <f t="shared" si="8"/>
        <v>24</v>
      </c>
    </row>
    <row r="96" spans="2:23" x14ac:dyDescent="0.35">
      <c r="B96">
        <f t="shared" si="7"/>
        <v>25</v>
      </c>
      <c r="C96" s="23" t="str">
        <f t="shared" si="9"/>
        <v>Connor Leahy, researcher and entrepreneur known for his doom opinions</v>
      </c>
      <c r="D96" s="833" t="s">
        <v>45</v>
      </c>
      <c r="E96" s="487"/>
      <c r="F96" s="791" t="s">
        <v>45</v>
      </c>
      <c r="G96" s="786" t="s">
        <v>2870</v>
      </c>
      <c r="H96" s="789" t="s">
        <v>45</v>
      </c>
      <c r="I96" s="487"/>
      <c r="J96" s="787" t="s">
        <v>45</v>
      </c>
      <c r="K96" s="789"/>
      <c r="L96" s="789"/>
      <c r="M96" s="789"/>
      <c r="N96" s="487"/>
      <c r="O96" s="487"/>
      <c r="P96" s="487"/>
      <c r="Q96" s="487"/>
      <c r="R96" s="487"/>
      <c r="S96" s="487"/>
      <c r="T96" s="487"/>
      <c r="U96" s="52"/>
      <c r="V96" s="126"/>
      <c r="W96">
        <f t="shared" si="8"/>
        <v>25</v>
      </c>
    </row>
    <row r="97" spans="2:27" x14ac:dyDescent="0.35">
      <c r="B97">
        <f t="shared" si="7"/>
        <v>26</v>
      </c>
      <c r="C97" s="23" t="str">
        <f t="shared" si="9"/>
        <v>Roman Yampolskiy, computer scientist at University of Louisville</v>
      </c>
      <c r="D97" s="833" t="s">
        <v>45</v>
      </c>
      <c r="E97" s="792" t="s">
        <v>1554</v>
      </c>
      <c r="F97" s="791" t="s">
        <v>45</v>
      </c>
      <c r="G97" s="786" t="s">
        <v>1553</v>
      </c>
      <c r="H97" s="789" t="s">
        <v>45</v>
      </c>
      <c r="I97" s="487"/>
      <c r="J97" s="787" t="s">
        <v>45</v>
      </c>
      <c r="K97" s="789"/>
      <c r="L97" s="789"/>
      <c r="M97" s="789"/>
      <c r="N97" s="487" t="s">
        <v>45</v>
      </c>
      <c r="O97" s="487"/>
      <c r="P97" s="792" t="s">
        <v>1552</v>
      </c>
      <c r="Q97" s="786" t="s">
        <v>1398</v>
      </c>
      <c r="R97" s="786"/>
      <c r="S97" s="786" t="s">
        <v>45</v>
      </c>
      <c r="T97" s="786"/>
      <c r="U97" s="52"/>
      <c r="V97" s="126"/>
      <c r="W97">
        <f t="shared" si="8"/>
        <v>26</v>
      </c>
    </row>
    <row r="98" spans="2:27" x14ac:dyDescent="0.35">
      <c r="B98">
        <f t="shared" si="7"/>
        <v>27</v>
      </c>
      <c r="C98" s="23" t="str">
        <f t="shared" si="9"/>
        <v>Guillaume Verdon better known as meme character Beff Jezos, "leader of E/acc Movement", also entrepreneur and mathematical physicist</v>
      </c>
      <c r="D98" s="833" t="s">
        <v>45</v>
      </c>
      <c r="E98" s="792"/>
      <c r="F98" s="791" t="s">
        <v>45</v>
      </c>
      <c r="G98" s="786"/>
      <c r="H98" s="789"/>
      <c r="I98" s="487"/>
      <c r="J98" s="787" t="s">
        <v>45</v>
      </c>
      <c r="K98" s="789"/>
      <c r="L98" s="789"/>
      <c r="M98" s="789"/>
      <c r="N98" s="487"/>
      <c r="O98" s="487"/>
      <c r="P98" s="792"/>
      <c r="Q98" s="786" t="s">
        <v>1715</v>
      </c>
      <c r="R98" s="786"/>
      <c r="S98" s="786" t="s">
        <v>45</v>
      </c>
      <c r="T98" s="786"/>
      <c r="U98" s="52"/>
      <c r="V98" s="126"/>
      <c r="W98">
        <f t="shared" si="8"/>
        <v>27</v>
      </c>
    </row>
    <row r="99" spans="2:27" ht="15" thickBot="1" x14ac:dyDescent="0.4">
      <c r="B99">
        <f t="shared" si="7"/>
        <v>28</v>
      </c>
      <c r="C99" s="23"/>
      <c r="D99" s="833" t="s">
        <v>45</v>
      </c>
      <c r="E99" s="487"/>
      <c r="F99" s="792"/>
      <c r="G99" s="487"/>
      <c r="H99" s="789"/>
      <c r="I99" s="487"/>
      <c r="J99" s="487"/>
      <c r="K99" s="789"/>
      <c r="L99" s="789"/>
      <c r="M99" s="789"/>
      <c r="N99" s="487"/>
      <c r="O99" s="487"/>
      <c r="P99" s="487"/>
      <c r="Q99" s="487"/>
      <c r="R99" s="487"/>
      <c r="S99" s="487"/>
      <c r="T99" s="487"/>
      <c r="U99" s="52"/>
      <c r="V99" s="126"/>
      <c r="W99">
        <f t="shared" si="8"/>
        <v>28</v>
      </c>
    </row>
    <row r="100" spans="2:27" s="16" customFormat="1" ht="21.5" thickTop="1" x14ac:dyDescent="0.5">
      <c r="B100">
        <f t="shared" si="7"/>
        <v>29</v>
      </c>
      <c r="C100" s="702" t="str">
        <f>C38</f>
        <v>Key business insiders in AI - Dominant opinion: Human level AGI will happen 2028-2030 with 50% probability</v>
      </c>
      <c r="D100" s="703"/>
      <c r="E100" s="784"/>
      <c r="F100" s="784"/>
      <c r="G100" s="784"/>
      <c r="H100" s="784"/>
      <c r="I100" s="784"/>
      <c r="J100" s="784"/>
      <c r="K100" s="784"/>
      <c r="L100" s="784"/>
      <c r="M100" s="784"/>
      <c r="N100" s="784"/>
      <c r="O100" s="784"/>
      <c r="P100" s="784"/>
      <c r="Q100" s="784"/>
      <c r="R100" s="784"/>
      <c r="S100" s="784"/>
      <c r="T100" s="784"/>
      <c r="U100" s="702"/>
      <c r="V100" s="1145"/>
      <c r="W100">
        <f t="shared" si="8"/>
        <v>29</v>
      </c>
    </row>
    <row r="101" spans="2:27" ht="14.5" customHeight="1" x14ac:dyDescent="0.35">
      <c r="B101">
        <f t="shared" si="7"/>
        <v>30</v>
      </c>
      <c r="C101" s="23" t="str">
        <f>C39</f>
        <v>Sam Altman, CEO OpenAI</v>
      </c>
      <c r="D101" s="833" t="s">
        <v>45</v>
      </c>
      <c r="E101" s="487"/>
      <c r="F101" s="791" t="s">
        <v>45</v>
      </c>
      <c r="G101" s="785" t="s">
        <v>2704</v>
      </c>
      <c r="H101" s="792" t="s">
        <v>1504</v>
      </c>
      <c r="I101" s="487"/>
      <c r="J101" s="794" t="s">
        <v>45</v>
      </c>
      <c r="K101" s="792"/>
      <c r="L101" s="792"/>
      <c r="M101" s="792"/>
      <c r="N101" s="487"/>
      <c r="O101" s="487"/>
      <c r="P101" s="786" t="s">
        <v>1507</v>
      </c>
      <c r="Q101" s="487"/>
      <c r="R101" s="487"/>
      <c r="S101" s="487"/>
      <c r="T101" s="487"/>
      <c r="U101" s="52"/>
      <c r="V101" s="126"/>
      <c r="W101">
        <f t="shared" si="8"/>
        <v>30</v>
      </c>
      <c r="Y101" s="14" t="s">
        <v>1131</v>
      </c>
      <c r="Z101" s="14"/>
      <c r="AA101" t="s">
        <v>45</v>
      </c>
    </row>
    <row r="102" spans="2:27" ht="14.5" customHeight="1" x14ac:dyDescent="0.35">
      <c r="B102">
        <f t="shared" si="7"/>
        <v>31</v>
      </c>
      <c r="C102" s="23" t="str">
        <f>C40</f>
        <v>Dario Amodei, CEO Anthropic</v>
      </c>
      <c r="D102" s="833" t="s">
        <v>45</v>
      </c>
      <c r="E102" s="487"/>
      <c r="F102" s="791" t="s">
        <v>45</v>
      </c>
      <c r="G102" s="786" t="s">
        <v>1201</v>
      </c>
      <c r="H102" s="789" t="s">
        <v>45</v>
      </c>
      <c r="I102" s="487"/>
      <c r="J102" s="794" t="s">
        <v>45</v>
      </c>
      <c r="K102" s="789"/>
      <c r="L102" s="789"/>
      <c r="M102" s="789"/>
      <c r="N102" s="487" t="s">
        <v>45</v>
      </c>
      <c r="O102" s="487"/>
      <c r="P102" s="786" t="s">
        <v>1509</v>
      </c>
      <c r="Q102" s="487" t="s">
        <v>1391</v>
      </c>
      <c r="R102" s="487"/>
      <c r="S102" s="487"/>
      <c r="T102" s="487"/>
      <c r="U102" s="52"/>
      <c r="V102" s="126"/>
      <c r="W102">
        <f t="shared" si="8"/>
        <v>31</v>
      </c>
      <c r="Y102" s="14"/>
      <c r="Z102" s="14"/>
    </row>
    <row r="103" spans="2:27" x14ac:dyDescent="0.35">
      <c r="B103">
        <f t="shared" si="7"/>
        <v>32</v>
      </c>
      <c r="C103" s="23" t="str">
        <f>C41</f>
        <v>Elon Musk, CEO Tesla, xAI</v>
      </c>
      <c r="D103" s="833" t="s">
        <v>45</v>
      </c>
      <c r="E103" s="786" t="s">
        <v>1163</v>
      </c>
      <c r="F103" s="795" t="s">
        <v>1182</v>
      </c>
      <c r="G103" s="795" t="s">
        <v>1181</v>
      </c>
      <c r="H103" s="792" t="s">
        <v>1183</v>
      </c>
      <c r="I103" s="792"/>
      <c r="J103" s="794" t="s">
        <v>45</v>
      </c>
      <c r="K103" s="792"/>
      <c r="L103" s="792"/>
      <c r="M103" s="792"/>
      <c r="N103" s="792" t="s">
        <v>1179</v>
      </c>
      <c r="O103" s="792" t="s">
        <v>45</v>
      </c>
      <c r="P103" s="487" t="s">
        <v>45</v>
      </c>
      <c r="Q103" s="487" t="s">
        <v>1389</v>
      </c>
      <c r="R103" s="487"/>
      <c r="S103" s="487"/>
      <c r="T103" s="487"/>
      <c r="U103" s="52"/>
      <c r="V103" s="126"/>
      <c r="W103">
        <f t="shared" si="8"/>
        <v>32</v>
      </c>
    </row>
    <row r="104" spans="2:27" x14ac:dyDescent="0.35">
      <c r="B104">
        <f t="shared" si="7"/>
        <v>33</v>
      </c>
      <c r="C104" s="23" t="str">
        <f t="shared" ref="C104:C112" si="10">C42</f>
        <v>Mark Zuckerberg, CEO Facebook</v>
      </c>
      <c r="D104" s="833" t="s">
        <v>45</v>
      </c>
      <c r="E104" s="487"/>
      <c r="F104" s="789" t="s">
        <v>45</v>
      </c>
      <c r="G104" s="487"/>
      <c r="H104" s="789"/>
      <c r="I104" s="487"/>
      <c r="J104" s="794" t="s">
        <v>45</v>
      </c>
      <c r="K104" s="789"/>
      <c r="L104" s="789"/>
      <c r="M104" s="789"/>
      <c r="N104" s="487"/>
      <c r="O104" s="487"/>
      <c r="P104" s="487"/>
      <c r="Q104" s="487"/>
      <c r="R104" s="487"/>
      <c r="S104" s="487"/>
      <c r="T104" s="487"/>
      <c r="U104" s="52"/>
      <c r="V104" s="126"/>
      <c r="W104">
        <f t="shared" si="8"/>
        <v>33</v>
      </c>
    </row>
    <row r="105" spans="2:27" x14ac:dyDescent="0.35">
      <c r="B105">
        <f t="shared" si="7"/>
        <v>34</v>
      </c>
      <c r="C105" s="23" t="str">
        <f t="shared" si="10"/>
        <v>Jensen Huang, CEO NVIDIA</v>
      </c>
      <c r="D105" s="833" t="s">
        <v>45</v>
      </c>
      <c r="E105" s="487"/>
      <c r="F105" s="789" t="s">
        <v>45</v>
      </c>
      <c r="G105" s="487"/>
      <c r="H105" s="789"/>
      <c r="I105" s="487"/>
      <c r="J105" s="794" t="s">
        <v>45</v>
      </c>
      <c r="K105" s="789"/>
      <c r="L105" s="789"/>
      <c r="M105" s="789"/>
      <c r="N105" s="487"/>
      <c r="O105" s="487"/>
      <c r="P105" s="487"/>
      <c r="Q105" s="487"/>
      <c r="R105" s="487"/>
      <c r="S105" s="487"/>
      <c r="T105" s="487"/>
      <c r="U105" s="52"/>
      <c r="V105" s="126"/>
      <c r="W105">
        <f t="shared" si="8"/>
        <v>34</v>
      </c>
    </row>
    <row r="106" spans="2:27" x14ac:dyDescent="0.35">
      <c r="B106">
        <f t="shared" si="7"/>
        <v>35</v>
      </c>
      <c r="C106" s="23" t="str">
        <f t="shared" si="10"/>
        <v>Eric Schmidt, former CEO of Google</v>
      </c>
      <c r="D106" s="833" t="s">
        <v>45</v>
      </c>
      <c r="E106" s="487"/>
      <c r="F106" s="789" t="s">
        <v>45</v>
      </c>
      <c r="G106" s="786" t="s">
        <v>1327</v>
      </c>
      <c r="H106" s="789" t="s">
        <v>45</v>
      </c>
      <c r="I106" s="487"/>
      <c r="J106" s="794" t="s">
        <v>45</v>
      </c>
      <c r="K106" s="789"/>
      <c r="L106" s="789"/>
      <c r="M106" s="789"/>
      <c r="N106" s="487"/>
      <c r="O106" s="487"/>
      <c r="P106" s="487"/>
      <c r="Q106" s="487"/>
      <c r="R106" s="487"/>
      <c r="S106" s="487"/>
      <c r="T106" s="487"/>
      <c r="U106" s="52"/>
      <c r="V106" s="126"/>
      <c r="W106">
        <f t="shared" si="8"/>
        <v>35</v>
      </c>
    </row>
    <row r="107" spans="2:27" x14ac:dyDescent="0.35">
      <c r="B107">
        <f t="shared" si="7"/>
        <v>36</v>
      </c>
      <c r="C107" s="23" t="str">
        <f t="shared" si="10"/>
        <v>Jeff Bezos, former CEO of Amazon</v>
      </c>
      <c r="D107" s="833" t="s">
        <v>45</v>
      </c>
      <c r="E107" s="487"/>
      <c r="F107" s="789"/>
      <c r="G107" s="786"/>
      <c r="H107" s="789"/>
      <c r="I107" s="487"/>
      <c r="J107" s="794" t="s">
        <v>45</v>
      </c>
      <c r="K107" s="789"/>
      <c r="L107" s="789"/>
      <c r="M107" s="789"/>
      <c r="N107" s="487"/>
      <c r="O107" s="487"/>
      <c r="P107" s="487"/>
      <c r="Q107" s="487"/>
      <c r="R107" s="487"/>
      <c r="S107" s="487"/>
      <c r="T107" s="487"/>
      <c r="U107" s="52"/>
      <c r="V107" s="126"/>
      <c r="W107">
        <f t="shared" si="8"/>
        <v>36</v>
      </c>
    </row>
    <row r="108" spans="2:27" x14ac:dyDescent="0.35">
      <c r="B108">
        <f t="shared" si="7"/>
        <v>37</v>
      </c>
      <c r="C108" s="23" t="str">
        <f t="shared" si="10"/>
        <v>Liang Wenfeng, Founder &amp; CEO Deepseek</v>
      </c>
      <c r="D108" s="833" t="s">
        <v>45</v>
      </c>
      <c r="E108" s="487"/>
      <c r="F108" s="789"/>
      <c r="G108" s="786"/>
      <c r="H108" s="789"/>
      <c r="I108" s="487"/>
      <c r="J108" s="794" t="s">
        <v>45</v>
      </c>
      <c r="K108" s="789"/>
      <c r="L108" s="789"/>
      <c r="M108" s="789"/>
      <c r="N108" s="487"/>
      <c r="O108" s="487"/>
      <c r="P108" s="487"/>
      <c r="Q108" s="487"/>
      <c r="R108" s="487"/>
      <c r="S108" s="487"/>
      <c r="T108" s="487"/>
      <c r="U108" s="52"/>
      <c r="V108" s="126"/>
      <c r="W108">
        <f t="shared" si="8"/>
        <v>37</v>
      </c>
    </row>
    <row r="109" spans="2:27" x14ac:dyDescent="0.35">
      <c r="B109">
        <f t="shared" si="7"/>
        <v>38</v>
      </c>
      <c r="C109" s="23" t="str">
        <f t="shared" si="10"/>
        <v>Torsten Reil, Co-Founder and Co-CEO of Helsing</v>
      </c>
      <c r="D109" s="833" t="s">
        <v>45</v>
      </c>
      <c r="E109" s="487"/>
      <c r="F109" s="789"/>
      <c r="G109" s="786"/>
      <c r="H109" s="789"/>
      <c r="I109" s="487"/>
      <c r="J109" s="794" t="s">
        <v>45</v>
      </c>
      <c r="K109" s="789"/>
      <c r="L109" s="789"/>
      <c r="M109" s="789"/>
      <c r="N109" s="487"/>
      <c r="O109" s="487"/>
      <c r="P109" s="487"/>
      <c r="Q109" s="487"/>
      <c r="R109" s="487"/>
      <c r="S109" s="487"/>
      <c r="T109" s="487"/>
      <c r="U109" s="52"/>
      <c r="V109" s="126"/>
      <c r="W109">
        <f t="shared" si="8"/>
        <v>38</v>
      </c>
    </row>
    <row r="110" spans="2:27" x14ac:dyDescent="0.35">
      <c r="B110">
        <f t="shared" si="7"/>
        <v>39</v>
      </c>
      <c r="C110" s="23" t="str">
        <f t="shared" si="10"/>
        <v>Alex Karp, CEO Palantir Technologies making AI powered weapons</v>
      </c>
      <c r="D110" s="833" t="s">
        <v>45</v>
      </c>
      <c r="E110" s="487"/>
      <c r="F110" s="792"/>
      <c r="G110" s="487"/>
      <c r="H110" s="789"/>
      <c r="I110" s="785"/>
      <c r="J110" s="794" t="s">
        <v>45</v>
      </c>
      <c r="K110" s="789"/>
      <c r="L110" s="789"/>
      <c r="M110" s="789"/>
      <c r="N110" s="785"/>
      <c r="O110" s="487"/>
      <c r="P110" s="487"/>
      <c r="Q110" s="487"/>
      <c r="R110" s="487"/>
      <c r="S110" s="487"/>
      <c r="T110" s="487"/>
      <c r="U110" s="52"/>
      <c r="V110" s="126"/>
      <c r="W110">
        <f t="shared" si="8"/>
        <v>39</v>
      </c>
    </row>
    <row r="111" spans="2:27" x14ac:dyDescent="0.35">
      <c r="B111">
        <f t="shared" si="7"/>
        <v>40</v>
      </c>
      <c r="C111" s="23" t="str">
        <f t="shared" si="10"/>
        <v>Palmer Luckey, Founder and CEO of Anduril Industries</v>
      </c>
      <c r="D111" s="833" t="s">
        <v>45</v>
      </c>
      <c r="E111" s="487"/>
      <c r="F111" s="792"/>
      <c r="G111" s="487"/>
      <c r="H111" s="789"/>
      <c r="I111" s="487"/>
      <c r="J111" s="794" t="s">
        <v>45</v>
      </c>
      <c r="K111" s="789"/>
      <c r="L111" s="789"/>
      <c r="M111" s="789"/>
      <c r="N111" s="487"/>
      <c r="O111" s="487"/>
      <c r="P111" s="487"/>
      <c r="Q111" s="487"/>
      <c r="R111" s="487"/>
      <c r="S111" s="487"/>
      <c r="T111" s="487"/>
      <c r="U111" s="52"/>
      <c r="V111" s="126"/>
      <c r="W111">
        <f t="shared" si="8"/>
        <v>40</v>
      </c>
    </row>
    <row r="112" spans="2:27" x14ac:dyDescent="0.35">
      <c r="B112">
        <f t="shared" si="7"/>
        <v>41</v>
      </c>
      <c r="C112" s="23" t="str">
        <f t="shared" si="10"/>
        <v>Bernt Bornich, CEO &amp; Founder of 1X</v>
      </c>
      <c r="D112" s="833" t="s">
        <v>45</v>
      </c>
      <c r="E112" s="487"/>
      <c r="F112" s="792"/>
      <c r="G112" s="487"/>
      <c r="H112" s="789"/>
      <c r="I112" s="487"/>
      <c r="J112" s="794"/>
      <c r="K112" s="789"/>
      <c r="L112" s="789"/>
      <c r="M112" s="789"/>
      <c r="N112" s="487"/>
      <c r="O112" s="487"/>
      <c r="P112" s="487"/>
      <c r="Q112" s="487"/>
      <c r="R112" s="487"/>
      <c r="S112" s="487"/>
      <c r="T112" s="487"/>
      <c r="U112" s="52"/>
      <c r="V112" s="126"/>
      <c r="W112">
        <f t="shared" si="8"/>
        <v>41</v>
      </c>
    </row>
    <row r="113" spans="2:23" x14ac:dyDescent="0.35">
      <c r="B113">
        <f t="shared" si="7"/>
        <v>42</v>
      </c>
      <c r="C113" s="23" t="str">
        <f t="shared" ref="C113:C115" si="11">C51</f>
        <v>Aravind Srinivas, CEO Perplexity</v>
      </c>
      <c r="D113" s="833" t="s">
        <v>45</v>
      </c>
      <c r="E113" s="487"/>
      <c r="F113" s="792"/>
      <c r="G113" s="487"/>
      <c r="H113" s="789"/>
      <c r="I113" s="487"/>
      <c r="J113" s="794" t="s">
        <v>45</v>
      </c>
      <c r="K113" s="789"/>
      <c r="L113" s="789"/>
      <c r="M113" s="789"/>
      <c r="N113" s="487"/>
      <c r="O113" s="487"/>
      <c r="P113" s="487"/>
      <c r="Q113" s="487"/>
      <c r="R113" s="487"/>
      <c r="S113" s="487"/>
      <c r="T113" s="487"/>
      <c r="U113" s="52"/>
      <c r="V113" s="126"/>
      <c r="W113">
        <f t="shared" si="8"/>
        <v>42</v>
      </c>
    </row>
    <row r="114" spans="2:23" x14ac:dyDescent="0.35">
      <c r="B114">
        <f t="shared" si="7"/>
        <v>43</v>
      </c>
      <c r="C114" s="23" t="str">
        <f t="shared" si="11"/>
        <v>Stephen Wolfram, CEO Wolfram Research Inc.</v>
      </c>
      <c r="D114" s="833" t="s">
        <v>45</v>
      </c>
      <c r="E114" s="487"/>
      <c r="F114" s="792"/>
      <c r="G114" s="487"/>
      <c r="H114" s="789"/>
      <c r="I114" s="487"/>
      <c r="J114" s="794" t="s">
        <v>45</v>
      </c>
      <c r="K114" s="789"/>
      <c r="L114" s="789"/>
      <c r="M114" s="789"/>
      <c r="N114" s="487"/>
      <c r="O114" s="487"/>
      <c r="P114" s="487"/>
      <c r="Q114" s="487"/>
      <c r="R114" s="487"/>
      <c r="S114" s="487"/>
      <c r="T114" s="487"/>
      <c r="U114" s="52"/>
      <c r="V114" s="126"/>
      <c r="W114">
        <f t="shared" si="8"/>
        <v>43</v>
      </c>
    </row>
    <row r="115" spans="2:23" x14ac:dyDescent="0.35">
      <c r="B115">
        <f t="shared" si="7"/>
        <v>44</v>
      </c>
      <c r="C115" s="23" t="str">
        <f t="shared" si="11"/>
        <v>Marc Andreessen, general partner at the venture capital firm Andreessen Horowitz</v>
      </c>
      <c r="D115" s="833" t="s">
        <v>45</v>
      </c>
      <c r="E115" s="487"/>
      <c r="F115" s="792"/>
      <c r="G115" s="487"/>
      <c r="H115" s="789"/>
      <c r="I115" s="487"/>
      <c r="J115" s="794" t="s">
        <v>45</v>
      </c>
      <c r="K115" s="789"/>
      <c r="L115" s="789"/>
      <c r="M115" s="789"/>
      <c r="N115" s="487"/>
      <c r="O115" s="487"/>
      <c r="P115" s="487"/>
      <c r="Q115" s="487"/>
      <c r="R115" s="487"/>
      <c r="S115" s="487"/>
      <c r="T115" s="487"/>
      <c r="U115" s="52"/>
      <c r="V115" s="126"/>
      <c r="W115">
        <f t="shared" si="8"/>
        <v>44</v>
      </c>
    </row>
    <row r="116" spans="2:23" x14ac:dyDescent="0.35">
      <c r="B116">
        <f t="shared" si="7"/>
        <v>45</v>
      </c>
      <c r="C116" s="23" t="str">
        <f t="shared" ref="C116:C117" si="12">C54</f>
        <v>Andrew Yan-Tak Ng, technology entrepreneur, venture capital investor and computer scientist</v>
      </c>
      <c r="D116" s="833" t="s">
        <v>45</v>
      </c>
      <c r="E116" s="487"/>
      <c r="F116" s="792"/>
      <c r="G116" s="487"/>
      <c r="H116" s="789"/>
      <c r="I116" s="487"/>
      <c r="J116" s="794" t="s">
        <v>45</v>
      </c>
      <c r="K116" s="789"/>
      <c r="L116" s="789"/>
      <c r="M116" s="789"/>
      <c r="N116" s="487"/>
      <c r="O116" s="487"/>
      <c r="P116" s="487"/>
      <c r="Q116" s="487"/>
      <c r="R116" s="487"/>
      <c r="S116" s="487"/>
      <c r="T116" s="487"/>
      <c r="U116" s="52"/>
      <c r="V116" s="126"/>
      <c r="W116">
        <f t="shared" si="8"/>
        <v>45</v>
      </c>
    </row>
    <row r="117" spans="2:23" x14ac:dyDescent="0.35">
      <c r="B117">
        <f t="shared" si="7"/>
        <v>46</v>
      </c>
      <c r="C117" s="23" t="str">
        <f t="shared" si="12"/>
        <v>Emad Mostaque, Founder of Stability AI</v>
      </c>
      <c r="D117" s="833" t="s">
        <v>45</v>
      </c>
      <c r="E117" s="487"/>
      <c r="F117" s="792"/>
      <c r="G117" s="487"/>
      <c r="H117" s="789"/>
      <c r="I117" s="487"/>
      <c r="J117" s="794" t="s">
        <v>45</v>
      </c>
      <c r="K117" s="789"/>
      <c r="L117" s="789"/>
      <c r="M117" s="789"/>
      <c r="N117" s="487" t="s">
        <v>45</v>
      </c>
      <c r="O117" s="487"/>
      <c r="P117" s="487"/>
      <c r="Q117" s="487" t="s">
        <v>1714</v>
      </c>
      <c r="R117" s="487"/>
      <c r="S117" s="487" t="s">
        <v>45</v>
      </c>
      <c r="T117" s="487"/>
      <c r="U117" s="52"/>
      <c r="V117" s="126"/>
      <c r="W117">
        <f t="shared" si="8"/>
        <v>46</v>
      </c>
    </row>
    <row r="118" spans="2:23" ht="15" thickBot="1" x14ac:dyDescent="0.4">
      <c r="B118">
        <f t="shared" si="7"/>
        <v>47</v>
      </c>
      <c r="C118" s="23"/>
      <c r="D118" s="833"/>
      <c r="E118" s="487"/>
      <c r="F118" s="792"/>
      <c r="G118" s="487"/>
      <c r="H118" s="789"/>
      <c r="I118" s="487"/>
      <c r="J118" s="487"/>
      <c r="K118" s="789"/>
      <c r="L118" s="789"/>
      <c r="M118" s="789"/>
      <c r="N118" s="487"/>
      <c r="O118" s="487"/>
      <c r="P118" s="487"/>
      <c r="Q118" s="487"/>
      <c r="R118" s="487"/>
      <c r="S118" s="487"/>
      <c r="T118" s="487"/>
      <c r="U118" s="52"/>
      <c r="V118" s="126"/>
      <c r="W118">
        <f t="shared" si="8"/>
        <v>47</v>
      </c>
    </row>
    <row r="119" spans="2:23" ht="21.5" thickTop="1" x14ac:dyDescent="0.5">
      <c r="B119">
        <f t="shared" si="7"/>
        <v>48</v>
      </c>
      <c r="C119" s="702" t="str">
        <f>C57</f>
        <v>Key politicians or dictators on AI</v>
      </c>
      <c r="D119" s="456"/>
      <c r="E119" s="490"/>
      <c r="F119" s="490"/>
      <c r="G119" s="490"/>
      <c r="H119" s="490"/>
      <c r="I119" s="490"/>
      <c r="J119" s="490"/>
      <c r="K119" s="490"/>
      <c r="L119" s="490"/>
      <c r="M119" s="490"/>
      <c r="N119" s="490"/>
      <c r="O119" s="490"/>
      <c r="P119" s="490"/>
      <c r="Q119" s="490"/>
      <c r="R119" s="490"/>
      <c r="S119" s="490"/>
      <c r="T119" s="490"/>
      <c r="U119" s="455"/>
      <c r="V119" s="469"/>
      <c r="W119">
        <f t="shared" si="8"/>
        <v>48</v>
      </c>
    </row>
    <row r="120" spans="2:23" x14ac:dyDescent="0.35">
      <c r="B120">
        <f t="shared" si="7"/>
        <v>49</v>
      </c>
      <c r="C120" s="23" t="str">
        <f>C58</f>
        <v>Barack Obama, ex President USA</v>
      </c>
      <c r="D120" s="833" t="s">
        <v>45</v>
      </c>
      <c r="E120" s="487"/>
      <c r="F120" s="792"/>
      <c r="G120" s="487"/>
      <c r="H120" s="789"/>
      <c r="I120" s="487"/>
      <c r="J120" s="794" t="s">
        <v>45</v>
      </c>
      <c r="K120" s="789"/>
      <c r="L120" s="789"/>
      <c r="M120" s="789"/>
      <c r="N120" s="487"/>
      <c r="O120" s="487"/>
      <c r="P120" s="786" t="s">
        <v>2008</v>
      </c>
      <c r="Q120" s="487" t="s">
        <v>45</v>
      </c>
      <c r="R120" s="487"/>
      <c r="S120" s="487"/>
      <c r="T120" s="487"/>
      <c r="U120" s="52"/>
      <c r="V120" s="126"/>
      <c r="W120">
        <f t="shared" si="8"/>
        <v>49</v>
      </c>
    </row>
    <row r="121" spans="2:23" x14ac:dyDescent="0.35">
      <c r="B121">
        <f t="shared" si="7"/>
        <v>50</v>
      </c>
      <c r="C121" s="23" t="str">
        <f>C59</f>
        <v>Putin, dictator Russia</v>
      </c>
      <c r="D121" s="833" t="s">
        <v>45</v>
      </c>
      <c r="E121" s="487"/>
      <c r="F121" s="792"/>
      <c r="G121" s="487"/>
      <c r="H121" s="789"/>
      <c r="I121" s="487"/>
      <c r="J121" s="794" t="s">
        <v>45</v>
      </c>
      <c r="K121" s="789"/>
      <c r="L121" s="789"/>
      <c r="M121" s="789"/>
      <c r="N121" s="487"/>
      <c r="O121" s="487"/>
      <c r="P121" s="786" t="s">
        <v>2006</v>
      </c>
      <c r="Q121" s="487" t="s">
        <v>45</v>
      </c>
      <c r="R121" s="487"/>
      <c r="S121" s="487"/>
      <c r="T121" s="487"/>
      <c r="U121" s="52"/>
      <c r="V121" s="126"/>
      <c r="W121">
        <f t="shared" si="8"/>
        <v>50</v>
      </c>
    </row>
    <row r="122" spans="2:23" ht="15" thickBot="1" x14ac:dyDescent="0.4">
      <c r="B122">
        <f t="shared" si="7"/>
        <v>51</v>
      </c>
      <c r="C122" s="27"/>
      <c r="D122" s="834" t="s">
        <v>45</v>
      </c>
      <c r="E122" s="488"/>
      <c r="F122" s="796"/>
      <c r="G122" s="488"/>
      <c r="H122" s="797"/>
      <c r="I122" s="488"/>
      <c r="J122" s="488"/>
      <c r="K122" s="797"/>
      <c r="L122" s="797"/>
      <c r="M122" s="797"/>
      <c r="N122" s="488"/>
      <c r="O122" s="488"/>
      <c r="P122" s="488"/>
      <c r="Q122" s="488"/>
      <c r="R122" s="488"/>
      <c r="S122" s="488"/>
      <c r="T122" s="488"/>
      <c r="U122" s="54"/>
      <c r="V122" s="731"/>
      <c r="W122">
        <f t="shared" si="8"/>
        <v>51</v>
      </c>
    </row>
    <row r="123" spans="2:23" ht="15" thickTop="1" x14ac:dyDescent="0.35"/>
  </sheetData>
  <phoneticPr fontId="4" type="noConversion"/>
  <hyperlinks>
    <hyperlink ref="E103" r:id="rId1" xr:uid="{68D4F6F4-7769-4E2E-8D6E-5E26E869F336}"/>
    <hyperlink ref="D41" r:id="rId2" xr:uid="{3F517473-61C2-4F0E-B202-5C9715F2E93B}"/>
    <hyperlink ref="D39" r:id="rId3" xr:uid="{033A4DB6-C0B7-4DCB-A62A-6A9237B70720}"/>
    <hyperlink ref="Y101" r:id="rId4" xr:uid="{C0B142C0-7F25-40AA-B6A8-3F9F250142B5}"/>
    <hyperlink ref="D42" r:id="rId5" xr:uid="{C5F9765E-0AA1-424C-8641-C69FB4579095}"/>
    <hyperlink ref="D18" r:id="rId6" xr:uid="{C791AAD4-C845-4B6C-9270-A53FD47A0B9F}"/>
    <hyperlink ref="D11" r:id="rId7" xr:uid="{B91BC295-7186-4156-A9E5-54E8160D7975}"/>
    <hyperlink ref="D19" r:id="rId8" xr:uid="{3E95705C-4BBC-4CD4-95C5-1A0D4B21A55B}"/>
    <hyperlink ref="D17" r:id="rId9" xr:uid="{F8054CBC-0087-47FA-912F-CC4E49947B09}"/>
    <hyperlink ref="D59" r:id="rId10" xr:uid="{4B104294-8FE8-4749-86E4-344B04D1982F}"/>
    <hyperlink ref="D58" r:id="rId11" xr:uid="{244D82BC-C44E-44A6-B7B1-9E98C6D4C42C}"/>
    <hyperlink ref="D25" r:id="rId12" xr:uid="{F51E6850-B2F6-4898-959A-1896F1EB71D4}"/>
    <hyperlink ref="D27" r:id="rId13" xr:uid="{3B897350-61A9-4B9F-AB08-F753D8BD9F68}"/>
    <hyperlink ref="N103" r:id="rId14" xr:uid="{13CC3021-5165-4BD6-AD56-78F71BF6F0BE}"/>
    <hyperlink ref="G103" r:id="rId15" xr:uid="{8BFB94D9-25A1-40D3-853F-A487925EF0F1}"/>
    <hyperlink ref="H103" r:id="rId16" xr:uid="{161DEF4A-73D4-4A04-AC06-39291E20A109}"/>
    <hyperlink ref="D40" r:id="rId17" xr:uid="{D74F47E0-8E0C-400A-905C-A8BA788E8140}"/>
    <hyperlink ref="D51" r:id="rId18" xr:uid="{FF5CACEF-9F30-4161-A5D7-180C82A93467}"/>
    <hyperlink ref="D32" r:id="rId19" xr:uid="{AE06DE4E-0DB4-4DAA-BD57-96F2164F25E6}"/>
    <hyperlink ref="D52" r:id="rId20" xr:uid="{5466D70E-7EAA-481D-9023-85B1DFC53AFA}"/>
    <hyperlink ref="D21" r:id="rId21" xr:uid="{EEC5F7B5-2B8D-431A-9234-4143144ABC38}"/>
    <hyperlink ref="G102" r:id="rId22" xr:uid="{49EDE0A1-87A0-4067-86BD-ADD63A0C5E6F}"/>
    <hyperlink ref="E80" r:id="rId23" display="https://fortune.com/2023/05/03/google-deepmind-ceo-agi-artificial-intelligence/" xr:uid="{BADE9A9F-A9FE-4C1D-909B-5DFBA16514F6}"/>
    <hyperlink ref="D16" r:id="rId24" xr:uid="{ABD4360F-AAFD-4BCA-8A3E-BC598ED324B6}"/>
    <hyperlink ref="G106" r:id="rId25" xr:uid="{F5E65E33-8EED-4631-8E0E-0E30733D4CDE}"/>
    <hyperlink ref="F103" r:id="rId26" display="https://youtu.be/mofEOSUkMpA?si=b6iCZF1_uHrL_FFC&amp;t=131" xr:uid="{0CA03A4E-3139-45D8-B63B-EAEFF59FD1FE}"/>
    <hyperlink ref="P90" r:id="rId27" xr:uid="{A624B6CD-5940-4264-BA2A-298DBC653567}"/>
    <hyperlink ref="P95" r:id="rId28" xr:uid="{07C563DF-DC46-4E7B-B002-907644D49395}"/>
    <hyperlink ref="Q79" r:id="rId29" xr:uid="{E945070B-B595-4F69-9E09-9D40F4E50E31}"/>
    <hyperlink ref="Q77" r:id="rId30" xr:uid="{D6F3EC58-0859-42DB-9009-4961E350A69C}"/>
    <hyperlink ref="P77" r:id="rId31" display="https://youtu.be/xqS5PDYbTsE?si=wfGr2FkFQSXLVhQV&amp;t=1080" xr:uid="{50721850-8082-4F0C-A41C-6892865DEA19}"/>
    <hyperlink ref="H101" r:id="rId32" xr:uid="{993645E3-0E7C-4742-BEC2-66A6063F6099}"/>
    <hyperlink ref="P101" r:id="rId33" xr:uid="{415D9D59-5877-4A0F-A1E7-AB30DDB4FD1F}"/>
    <hyperlink ref="P102" r:id="rId34" xr:uid="{466069E4-DD13-40F1-918F-2202DD53FD7A}"/>
    <hyperlink ref="U89" r:id="rId35" xr:uid="{D761CCD4-1288-4EE9-BE43-1A1DA7DB7B94}"/>
    <hyperlink ref="P89" r:id="rId36" display="https://youtu.be/UWh1MIMQd1Y?si=shlmCtbU-D49dEhe" xr:uid="{9F1F4ADC-7383-4085-910C-C106A5F853BC}"/>
    <hyperlink ref="D35" r:id="rId37" xr:uid="{0619EA43-3314-459F-AD9E-0F4BF388CA7C}"/>
    <hyperlink ref="Q97" r:id="rId38" xr:uid="{6F315A6F-AE27-47B2-90A4-2DEEA1F97FD6}"/>
    <hyperlink ref="P97" r:id="rId39" xr:uid="{F654E85A-C764-4A5B-AD07-8DB4955C7610}"/>
    <hyperlink ref="G97" r:id="rId40" xr:uid="{7E79C6DF-2171-4283-9610-BA4362C44462}"/>
    <hyperlink ref="E97" r:id="rId41" xr:uid="{9972C84E-B575-41EC-9663-2BF3458C93B7}"/>
    <hyperlink ref="S85" r:id="rId42" xr:uid="{0F5AC871-69B7-4A81-8B8D-4CAA85D6B575}"/>
    <hyperlink ref="G85" r:id="rId43" xr:uid="{06077632-74A3-4F82-956B-549F825AF6F7}"/>
    <hyperlink ref="T79" r:id="rId44" xr:uid="{3866884E-F281-45DC-B71B-04BB193EEC26}"/>
    <hyperlink ref="P81" r:id="rId45" xr:uid="{DFF2B2DC-F2F8-4575-A5B3-ADD1B09CAA5D}"/>
    <hyperlink ref="G81" r:id="rId46" xr:uid="{9474D285-853D-4336-BCC1-AE80FA5F1CFD}"/>
    <hyperlink ref="E84" r:id="rId47" xr:uid="{24A3EDE0-1783-44E7-A33C-8994901F8EDE}"/>
    <hyperlink ref="G84" r:id="rId48" xr:uid="{250E1FEC-1AF7-421B-A229-9E7659DFBE5B}"/>
    <hyperlink ref="Q98" r:id="rId49" xr:uid="{240E1C57-C225-4C54-819F-1BD47D9B1CD1}"/>
    <hyperlink ref="X36" r:id="rId50" xr:uid="{A0351FCD-5773-4316-BE8E-E0C9D1DBF0DA}"/>
    <hyperlink ref="X49" r:id="rId51" xr:uid="{656EE15C-6937-4548-9DF5-3E208C237154}"/>
    <hyperlink ref="X46" r:id="rId52" xr:uid="{0901E971-AFAB-4D77-8B34-D4AF1D97FAE8}"/>
    <hyperlink ref="X47" r:id="rId53" xr:uid="{C7E200F6-3BF5-4E84-A53B-9952676A0035}"/>
    <hyperlink ref="P120" r:id="rId54" xr:uid="{22AD23A4-D913-4B21-B1EC-5FDF72734C8C}"/>
    <hyperlink ref="P121" r:id="rId55" xr:uid="{C1BFFC37-9701-454A-85ED-0B53DBA62A67}"/>
    <hyperlink ref="P78" r:id="rId56" xr:uid="{64A6F6C3-5EA1-4F8A-B0CD-707182D603A5}"/>
    <hyperlink ref="Z16" r:id="rId57" xr:uid="{1E7FFDAC-AEF8-4E64-BBE6-BCBE5B7999E3}"/>
    <hyperlink ref="U78" r:id="rId58" xr:uid="{FBA62A44-801B-49F3-943C-8F3915B107C9}"/>
    <hyperlink ref="D24" r:id="rId59" xr:uid="{E3D99B9F-7C61-40B1-B1A1-263874BA5F6E}"/>
    <hyperlink ref="X24" r:id="rId60" xr:uid="{0B4C92BC-79EB-48F5-BD5C-EBF3DA585071}"/>
    <hyperlink ref="X23" r:id="rId61" xr:uid="{2F673546-80E2-4D0E-8AE4-C44943E0E40D}"/>
    <hyperlink ref="X15" r:id="rId62" xr:uid="{226C6FCB-1CEC-4E8B-A985-97450EE2FCA9}"/>
    <hyperlink ref="Y16" r:id="rId63" xr:uid="{CAF4893B-9127-4BCB-9710-6E4EA5AF716B}"/>
    <hyperlink ref="X16" r:id="rId64" xr:uid="{248EEA57-3BD1-4DC2-9CF2-B85E2329A7A9}"/>
    <hyperlink ref="E78" r:id="rId65" xr:uid="{70D0FD20-3838-4A54-AE24-A395B3A61CDF}"/>
    <hyperlink ref="X54" r:id="rId66" xr:uid="{9C28E79E-A5D3-4122-8A9F-DFE69611E6CD}"/>
    <hyperlink ref="G92" r:id="rId67" xr:uid="{A8C07C6A-312B-4351-A590-88E05A7AB55C}"/>
    <hyperlink ref="G61" r:id="rId68" xr:uid="{750282BE-D59B-465E-90D1-A0E64896FA06}"/>
    <hyperlink ref="D26" r:id="rId69" xr:uid="{523AA9E2-7E5E-4DC6-A00C-0965A3711FF8}"/>
    <hyperlink ref="D15" r:id="rId70" xr:uid="{F6A89F71-6580-4588-B7FF-F35EC568A7D7}"/>
    <hyperlink ref="D73" r:id="rId71" xr:uid="{0A1D63D8-6550-4892-8E83-F7DC45E3B905}"/>
    <hyperlink ref="G75" r:id="rId72" xr:uid="{7CAA6B46-4D4D-4D93-8DAF-F624ADABE996}"/>
    <hyperlink ref="E75" r:id="rId73" xr:uid="{114799CE-9750-4432-A5B0-D447FA375618}"/>
    <hyperlink ref="H75" r:id="rId74" xr:uid="{A8F68C4E-C628-4FD4-ABBC-B496506B9C4B}"/>
    <hyperlink ref="F75" r:id="rId75" xr:uid="{D0C502EE-2825-4911-9020-73CF1B65505B}"/>
    <hyperlink ref="D13" r:id="rId76" xr:uid="{EF77CEEC-BC33-4E8C-BF80-D6070332A4FE}"/>
    <hyperlink ref="E74" r:id="rId77" xr:uid="{3B2599AD-CC2E-4CFC-ADC8-54D1ADC60C51}"/>
    <hyperlink ref="X12" r:id="rId78" xr:uid="{B6724546-1A8A-4D39-8443-97CF7EB2334A}"/>
    <hyperlink ref="Y19" r:id="rId79" xr:uid="{9AA25A07-5D72-4356-A96F-51D87E8B0AB6}"/>
    <hyperlink ref="G96" r:id="rId80" xr:uid="{19AE6C67-9E31-42D3-A658-46691FAD9DD5}"/>
    <hyperlink ref="G82" r:id="rId81" xr:uid="{670A619A-58FF-4D73-AD7B-6C624A55F0EC}"/>
    <hyperlink ref="X50" r:id="rId82" xr:uid="{AAC4DB77-84BD-41FB-9BD0-79AFEE1AB870}"/>
  </hyperlinks>
  <pageMargins left="0.7" right="0.7" top="0.75" bottom="0.75" header="0.3" footer="0.3"/>
  <pageSetup paperSize="9" orientation="portrait" verticalDpi="0" r:id="rId8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CB572-A368-4EBF-A411-1ED5A00C57B7}">
  <dimension ref="A1:M164"/>
  <sheetViews>
    <sheetView zoomScale="110" zoomScaleNormal="110" workbookViewId="0">
      <pane xSplit="2" ySplit="15" topLeftCell="C19" activePane="bottomRight" state="frozen"/>
      <selection pane="topRight" activeCell="C1" sqref="C1"/>
      <selection pane="bottomLeft" activeCell="A19" sqref="A19"/>
      <selection pane="bottomRight" activeCell="I102" sqref="I102"/>
    </sheetView>
  </sheetViews>
  <sheetFormatPr defaultRowHeight="14.5" x14ac:dyDescent="0.35"/>
  <cols>
    <col min="1" max="1" width="4.08984375" customWidth="1"/>
    <col min="2" max="2" width="85.54296875" customWidth="1"/>
    <col min="3" max="3" width="25.08984375" customWidth="1"/>
    <col min="4" max="4" width="25.7265625" customWidth="1"/>
    <col min="5" max="5" width="21.26953125" customWidth="1"/>
    <col min="6" max="6" width="20" customWidth="1"/>
    <col min="7" max="7" width="26" customWidth="1"/>
    <col min="8" max="8" width="27.54296875" customWidth="1"/>
    <col min="9" max="9" width="28.1796875" customWidth="1"/>
    <col min="10" max="10" width="19" customWidth="1"/>
    <col min="11" max="11" width="20.6328125" customWidth="1"/>
    <col min="12" max="12" width="5" customWidth="1"/>
  </cols>
  <sheetData>
    <row r="1" spans="1:13" ht="28.5" x14ac:dyDescent="0.65">
      <c r="A1" s="9" t="str">
        <f>AI_Models!$A$1</f>
        <v>Path towards AGI &amp; artificial humans - How close are AIs and robotics from being able to do any work that humans can do? #74/101</v>
      </c>
    </row>
    <row r="2" spans="1:13" ht="15.5" x14ac:dyDescent="0.35">
      <c r="A2" s="10" t="str">
        <f>AI_Models!$A$2</f>
        <v>Proprietary. © H. Mathiesen. This material can be used by others free of charge provided that the author H. Mathiesen is attributed and a clickable link is made visible to the location of used material on www.hmexperience.dk</v>
      </c>
    </row>
    <row r="3" spans="1:13" ht="14.5" customHeight="1" x14ac:dyDescent="0.35">
      <c r="A3" s="414" t="str">
        <f>AI_Models!A3</f>
        <v>Links to all sources are available in sources table below</v>
      </c>
      <c r="B3" s="415"/>
    </row>
    <row r="4" spans="1:13" ht="14.5" customHeight="1" x14ac:dyDescent="0.35">
      <c r="A4" s="1023"/>
    </row>
    <row r="5" spans="1:13" ht="29" thickBot="1" x14ac:dyDescent="0.7">
      <c r="B5" s="874" t="s">
        <v>3187</v>
      </c>
    </row>
    <row r="6" spans="1:13" ht="21.5" thickTop="1" x14ac:dyDescent="0.5">
      <c r="B6" s="921" t="s">
        <v>3093</v>
      </c>
      <c r="C6" s="908"/>
      <c r="D6" s="908"/>
      <c r="E6" s="908"/>
      <c r="F6" s="908"/>
      <c r="G6" s="908"/>
      <c r="H6" s="908"/>
      <c r="I6" s="908"/>
      <c r="J6" s="712"/>
      <c r="K6" s="713"/>
      <c r="M6" s="132" t="s">
        <v>45</v>
      </c>
    </row>
    <row r="7" spans="1:13" ht="15" thickBot="1" x14ac:dyDescent="0.4">
      <c r="B7" s="1088" t="s">
        <v>3094</v>
      </c>
      <c r="C7" s="899"/>
      <c r="D7" s="899"/>
      <c r="E7" s="899"/>
      <c r="F7" s="899"/>
      <c r="G7" s="899"/>
      <c r="H7" s="899"/>
      <c r="I7" s="899"/>
      <c r="J7" s="715"/>
      <c r="K7" s="716"/>
      <c r="M7" s="132" t="s">
        <v>45</v>
      </c>
    </row>
    <row r="8" spans="1:13" ht="21.5" thickTop="1" x14ac:dyDescent="0.5">
      <c r="A8">
        <f>1</f>
        <v>1</v>
      </c>
      <c r="B8" s="702" t="s">
        <v>3078</v>
      </c>
      <c r="C8" s="1065" t="s">
        <v>3079</v>
      </c>
      <c r="D8" s="1066" t="s">
        <v>3080</v>
      </c>
      <c r="E8" s="1067" t="s">
        <v>2707</v>
      </c>
      <c r="F8" s="1066" t="s">
        <v>2708</v>
      </c>
      <c r="G8" s="1066" t="s">
        <v>2318</v>
      </c>
      <c r="H8" s="1066" t="s">
        <v>2447</v>
      </c>
      <c r="I8" s="1066" t="s">
        <v>2446</v>
      </c>
      <c r="J8" s="1067" t="s">
        <v>3052</v>
      </c>
      <c r="K8" s="1068" t="s">
        <v>2478</v>
      </c>
      <c r="L8">
        <v>1</v>
      </c>
      <c r="M8" s="8"/>
    </row>
    <row r="9" spans="1:13" x14ac:dyDescent="0.35">
      <c r="A9">
        <f t="shared" ref="A9:A61" si="0">A8+1</f>
        <v>2</v>
      </c>
      <c r="B9" s="23" t="s">
        <v>3016</v>
      </c>
      <c r="C9" s="487" t="s">
        <v>3049</v>
      </c>
      <c r="D9" t="s">
        <v>2314</v>
      </c>
      <c r="E9" s="522" t="s">
        <v>2313</v>
      </c>
      <c r="F9" s="1" t="s">
        <v>2287</v>
      </c>
      <c r="G9" s="1" t="s">
        <v>2616</v>
      </c>
      <c r="H9" s="1" t="s">
        <v>2448</v>
      </c>
      <c r="I9" s="1" t="s">
        <v>2617</v>
      </c>
      <c r="J9" s="52" t="s">
        <v>3051</v>
      </c>
      <c r="K9" s="53" t="s">
        <v>2291</v>
      </c>
      <c r="L9">
        <f t="shared" ref="L9:L61" si="1">L8+1</f>
        <v>2</v>
      </c>
      <c r="M9" s="8"/>
    </row>
    <row r="10" spans="1:13" x14ac:dyDescent="0.35">
      <c r="A10">
        <f t="shared" si="0"/>
        <v>3</v>
      </c>
      <c r="B10" s="23" t="s">
        <v>3017</v>
      </c>
      <c r="C10" s="487" t="s">
        <v>3050</v>
      </c>
      <c r="D10" t="s">
        <v>2321</v>
      </c>
      <c r="E10" s="522" t="s">
        <v>2320</v>
      </c>
      <c r="F10" s="1" t="s">
        <v>2316</v>
      </c>
      <c r="G10" s="1" t="s">
        <v>2315</v>
      </c>
      <c r="H10" s="1" t="s">
        <v>2450</v>
      </c>
      <c r="I10" s="1" t="s">
        <v>2449</v>
      </c>
      <c r="J10" s="52" t="s">
        <v>3053</v>
      </c>
      <c r="K10" s="1194" t="s">
        <v>45</v>
      </c>
      <c r="L10">
        <f t="shared" si="1"/>
        <v>3</v>
      </c>
      <c r="M10" s="8" t="s">
        <v>32</v>
      </c>
    </row>
    <row r="11" spans="1:13" ht="14.5" customHeight="1" thickBot="1" x14ac:dyDescent="0.4">
      <c r="A11">
        <f t="shared" si="0"/>
        <v>4</v>
      </c>
      <c r="B11" s="27" t="s">
        <v>2740</v>
      </c>
      <c r="C11" s="1192" t="s">
        <v>3089</v>
      </c>
      <c r="D11" s="1193">
        <v>2025</v>
      </c>
      <c r="E11" s="267" t="s">
        <v>3131</v>
      </c>
      <c r="F11" s="301" t="s">
        <v>3132</v>
      </c>
      <c r="G11" s="301" t="s">
        <v>3133</v>
      </c>
      <c r="H11" s="301" t="s">
        <v>3011</v>
      </c>
      <c r="I11" s="301" t="s">
        <v>3011</v>
      </c>
      <c r="J11" s="1147" t="s">
        <v>1668</v>
      </c>
      <c r="K11" s="1195" t="s">
        <v>1670</v>
      </c>
      <c r="L11">
        <f t="shared" si="1"/>
        <v>4</v>
      </c>
      <c r="M11" s="8"/>
    </row>
    <row r="12" spans="1:13" ht="21.5" thickTop="1" x14ac:dyDescent="0.5">
      <c r="A12">
        <f t="shared" si="0"/>
        <v>5</v>
      </c>
      <c r="B12" s="699" t="s">
        <v>3168</v>
      </c>
      <c r="C12" s="1084" t="s">
        <v>1649</v>
      </c>
      <c r="D12" s="1085" t="s">
        <v>3171</v>
      </c>
      <c r="E12" s="1085" t="s">
        <v>3169</v>
      </c>
      <c r="F12" s="1179" t="s">
        <v>1650</v>
      </c>
      <c r="G12" s="1179" t="s">
        <v>2451</v>
      </c>
      <c r="H12" s="1179" t="s">
        <v>2466</v>
      </c>
      <c r="I12" s="1179" t="s">
        <v>2467</v>
      </c>
      <c r="J12" s="1086" t="s">
        <v>1652</v>
      </c>
      <c r="K12" s="1087" t="s">
        <v>1651</v>
      </c>
      <c r="L12">
        <f t="shared" si="1"/>
        <v>5</v>
      </c>
      <c r="M12" s="8"/>
    </row>
    <row r="13" spans="1:13" x14ac:dyDescent="0.35">
      <c r="A13">
        <f t="shared" si="0"/>
        <v>6</v>
      </c>
      <c r="B13" s="23" t="s">
        <v>2476</v>
      </c>
      <c r="C13" s="717" t="s">
        <v>1490</v>
      </c>
      <c r="D13" s="884" t="s">
        <v>1491</v>
      </c>
      <c r="E13" s="892" t="s">
        <v>3015</v>
      </c>
      <c r="F13" s="889" t="s">
        <v>1490</v>
      </c>
      <c r="G13" s="807" t="s">
        <v>1490</v>
      </c>
      <c r="H13" s="807" t="s">
        <v>1490</v>
      </c>
      <c r="I13" s="807" t="s">
        <v>1490</v>
      </c>
      <c r="J13" s="888" t="s">
        <v>1490</v>
      </c>
      <c r="K13" s="891" t="s">
        <v>1490</v>
      </c>
      <c r="L13">
        <f t="shared" si="1"/>
        <v>6</v>
      </c>
      <c r="M13" s="132" t="s">
        <v>45</v>
      </c>
    </row>
    <row r="14" spans="1:13" x14ac:dyDescent="0.35">
      <c r="A14">
        <f t="shared" si="0"/>
        <v>7</v>
      </c>
      <c r="B14" s="23" t="s">
        <v>2783</v>
      </c>
      <c r="C14" s="717" t="s">
        <v>1490</v>
      </c>
      <c r="D14" s="815" t="s">
        <v>2358</v>
      </c>
      <c r="E14" s="888" t="s">
        <v>1490</v>
      </c>
      <c r="F14" s="889" t="s">
        <v>1490</v>
      </c>
      <c r="G14" s="807" t="s">
        <v>1490</v>
      </c>
      <c r="H14" s="807" t="s">
        <v>1490</v>
      </c>
      <c r="I14" s="807" t="s">
        <v>1490</v>
      </c>
      <c r="J14" s="888" t="s">
        <v>2474</v>
      </c>
      <c r="K14" s="886" t="s">
        <v>1491</v>
      </c>
      <c r="L14">
        <f t="shared" si="1"/>
        <v>7</v>
      </c>
      <c r="M14" s="132" t="s">
        <v>45</v>
      </c>
    </row>
    <row r="15" spans="1:13" ht="15" thickBot="1" x14ac:dyDescent="0.4">
      <c r="A15">
        <f t="shared" si="0"/>
        <v>8</v>
      </c>
      <c r="B15" s="23" t="s">
        <v>2477</v>
      </c>
      <c r="C15" s="914" t="s">
        <v>3081</v>
      </c>
      <c r="D15" s="885" t="s">
        <v>1491</v>
      </c>
      <c r="E15" s="236" t="s">
        <v>2696</v>
      </c>
      <c r="F15" s="890" t="s">
        <v>2475</v>
      </c>
      <c r="G15" s="890" t="s">
        <v>1490</v>
      </c>
      <c r="H15" s="807" t="s">
        <v>1490</v>
      </c>
      <c r="I15" s="807" t="s">
        <v>1490</v>
      </c>
      <c r="J15" s="893" t="s">
        <v>1491</v>
      </c>
      <c r="K15" s="887" t="s">
        <v>1491</v>
      </c>
      <c r="L15">
        <f t="shared" si="1"/>
        <v>8</v>
      </c>
      <c r="M15" s="132"/>
    </row>
    <row r="16" spans="1:13" ht="21.5" thickTop="1" x14ac:dyDescent="0.5">
      <c r="A16">
        <f t="shared" si="0"/>
        <v>9</v>
      </c>
      <c r="B16" s="702" t="s">
        <v>3010</v>
      </c>
      <c r="C16" s="782"/>
      <c r="D16" s="916"/>
      <c r="E16" s="1035"/>
      <c r="F16" s="458"/>
      <c r="G16" s="458"/>
      <c r="H16" s="918"/>
      <c r="I16" s="918"/>
      <c r="J16" s="1036"/>
      <c r="K16" s="1037"/>
      <c r="L16">
        <f t="shared" si="1"/>
        <v>9</v>
      </c>
      <c r="M16" s="132"/>
    </row>
    <row r="17" spans="1:13" x14ac:dyDescent="0.35">
      <c r="A17">
        <f t="shared" si="0"/>
        <v>10</v>
      </c>
      <c r="B17" s="23" t="s">
        <v>1494</v>
      </c>
      <c r="C17" s="777" t="s">
        <v>1596</v>
      </c>
      <c r="D17" s="37" t="s">
        <v>3030</v>
      </c>
      <c r="E17" s="878" t="s">
        <v>3170</v>
      </c>
      <c r="F17" s="755" t="s">
        <v>1497</v>
      </c>
      <c r="G17" s="755" t="s">
        <v>2484</v>
      </c>
      <c r="H17" s="755" t="s">
        <v>2577</v>
      </c>
      <c r="I17" s="755" t="s">
        <v>2483</v>
      </c>
      <c r="J17" s="540" t="s">
        <v>3034</v>
      </c>
      <c r="K17" s="543" t="s">
        <v>1648</v>
      </c>
      <c r="L17">
        <f t="shared" si="1"/>
        <v>10</v>
      </c>
      <c r="M17" s="132" t="s">
        <v>45</v>
      </c>
    </row>
    <row r="18" spans="1:13" x14ac:dyDescent="0.35">
      <c r="A18">
        <f t="shared" si="0"/>
        <v>11</v>
      </c>
      <c r="B18" s="23" t="s">
        <v>2312</v>
      </c>
      <c r="C18" s="487" t="s">
        <v>1612</v>
      </c>
      <c r="D18" s="425" t="s">
        <v>1514</v>
      </c>
      <c r="E18" s="876" t="s">
        <v>1514</v>
      </c>
      <c r="F18" s="808" t="s">
        <v>1514</v>
      </c>
      <c r="G18" s="808" t="s">
        <v>2503</v>
      </c>
      <c r="H18" s="808" t="s">
        <v>2505</v>
      </c>
      <c r="I18" s="808" t="s">
        <v>2504</v>
      </c>
      <c r="J18" s="541" t="s">
        <v>1515</v>
      </c>
      <c r="K18" s="428" t="s">
        <v>1654</v>
      </c>
      <c r="L18">
        <f t="shared" si="1"/>
        <v>11</v>
      </c>
      <c r="M18" s="132" t="s">
        <v>45</v>
      </c>
    </row>
    <row r="19" spans="1:13" x14ac:dyDescent="0.35">
      <c r="A19">
        <f t="shared" si="0"/>
        <v>12</v>
      </c>
      <c r="B19" s="23" t="s">
        <v>1613</v>
      </c>
      <c r="C19" s="486" t="s">
        <v>2305</v>
      </c>
      <c r="D19" s="132" t="s">
        <v>2307</v>
      </c>
      <c r="E19" s="879" t="s">
        <v>2306</v>
      </c>
      <c r="F19" s="725" t="s">
        <v>2306</v>
      </c>
      <c r="G19" s="725" t="s">
        <v>2306</v>
      </c>
      <c r="H19" s="808" t="s">
        <v>2481</v>
      </c>
      <c r="I19" s="725" t="s">
        <v>2306</v>
      </c>
      <c r="J19" s="541" t="s">
        <v>2308</v>
      </c>
      <c r="K19" s="428" t="s">
        <v>1655</v>
      </c>
      <c r="L19">
        <f t="shared" si="1"/>
        <v>12</v>
      </c>
      <c r="M19" s="132" t="s">
        <v>45</v>
      </c>
    </row>
    <row r="20" spans="1:13" x14ac:dyDescent="0.35">
      <c r="A20">
        <f t="shared" si="0"/>
        <v>13</v>
      </c>
      <c r="B20" s="23" t="s">
        <v>3091</v>
      </c>
      <c r="C20" s="777" t="s">
        <v>3012</v>
      </c>
      <c r="D20" s="425" t="s">
        <v>2291</v>
      </c>
      <c r="E20" s="913" t="s">
        <v>2242</v>
      </c>
      <c r="F20" s="725" t="s">
        <v>3013</v>
      </c>
      <c r="G20" s="725" t="s">
        <v>3013</v>
      </c>
      <c r="H20" s="725" t="s">
        <v>3013</v>
      </c>
      <c r="I20" s="725" t="s">
        <v>3013</v>
      </c>
      <c r="J20" s="540" t="s">
        <v>3014</v>
      </c>
      <c r="K20" s="543" t="s">
        <v>2319</v>
      </c>
      <c r="L20">
        <f t="shared" si="1"/>
        <v>13</v>
      </c>
      <c r="M20" s="132"/>
    </row>
    <row r="21" spans="1:13" ht="14.5" customHeight="1" x14ac:dyDescent="0.35">
      <c r="A21">
        <f t="shared" si="0"/>
        <v>14</v>
      </c>
      <c r="B21" s="23" t="s">
        <v>2469</v>
      </c>
      <c r="C21" s="487" t="s">
        <v>2453</v>
      </c>
      <c r="D21" s="37" t="s">
        <v>2454</v>
      </c>
      <c r="E21" s="522" t="s">
        <v>2454</v>
      </c>
      <c r="F21" s="1" t="s">
        <v>2454</v>
      </c>
      <c r="G21" s="1" t="s">
        <v>2454</v>
      </c>
      <c r="H21" s="894" t="s">
        <v>2471</v>
      </c>
      <c r="I21" s="883" t="s">
        <v>2479</v>
      </c>
      <c r="J21" s="52" t="s">
        <v>2453</v>
      </c>
      <c r="K21" s="53" t="s">
        <v>2480</v>
      </c>
      <c r="L21">
        <f t="shared" si="1"/>
        <v>14</v>
      </c>
      <c r="M21" s="8"/>
    </row>
    <row r="22" spans="1:13" x14ac:dyDescent="0.35">
      <c r="A22">
        <f t="shared" si="0"/>
        <v>15</v>
      </c>
      <c r="B22" s="23" t="s">
        <v>2470</v>
      </c>
      <c r="C22" s="487" t="s">
        <v>2455</v>
      </c>
      <c r="D22" s="37" t="s">
        <v>2456</v>
      </c>
      <c r="E22" s="522" t="s">
        <v>2465</v>
      </c>
      <c r="F22" s="1" t="s">
        <v>2465</v>
      </c>
      <c r="G22" s="1" t="s">
        <v>2465</v>
      </c>
      <c r="H22" s="1" t="s">
        <v>2455</v>
      </c>
      <c r="I22" s="1" t="s">
        <v>2465</v>
      </c>
      <c r="J22" s="52" t="s">
        <v>2457</v>
      </c>
      <c r="K22" s="53" t="s">
        <v>2291</v>
      </c>
      <c r="L22">
        <f t="shared" si="1"/>
        <v>15</v>
      </c>
      <c r="M22" s="8"/>
    </row>
    <row r="23" spans="1:13" x14ac:dyDescent="0.35">
      <c r="A23">
        <f t="shared" si="0"/>
        <v>16</v>
      </c>
      <c r="B23" s="23" t="s">
        <v>2944</v>
      </c>
      <c r="C23" s="924" t="s">
        <v>2548</v>
      </c>
      <c r="D23" s="1058" t="s">
        <v>1491</v>
      </c>
      <c r="E23" s="876" t="s">
        <v>3033</v>
      </c>
      <c r="F23" s="725" t="s">
        <v>2545</v>
      </c>
      <c r="G23" s="725" t="s">
        <v>2546</v>
      </c>
      <c r="H23" s="808" t="s">
        <v>2547</v>
      </c>
      <c r="I23" s="725" t="s">
        <v>2549</v>
      </c>
      <c r="J23" s="541" t="s">
        <v>1491</v>
      </c>
      <c r="K23" s="428" t="s">
        <v>1491</v>
      </c>
      <c r="L23">
        <f t="shared" si="1"/>
        <v>16</v>
      </c>
      <c r="M23" s="132" t="s">
        <v>45</v>
      </c>
    </row>
    <row r="24" spans="1:13" x14ac:dyDescent="0.35">
      <c r="A24">
        <f t="shared" si="0"/>
        <v>17</v>
      </c>
      <c r="B24" s="23" t="s">
        <v>2945</v>
      </c>
      <c r="C24" s="487" t="s">
        <v>2943</v>
      </c>
      <c r="D24" s="425" t="s">
        <v>2587</v>
      </c>
      <c r="E24" s="522" t="s">
        <v>2589</v>
      </c>
      <c r="F24" s="1" t="s">
        <v>2588</v>
      </c>
      <c r="G24" s="1" t="s">
        <v>2590</v>
      </c>
      <c r="H24" s="1" t="s">
        <v>2591</v>
      </c>
      <c r="I24" s="1" t="s">
        <v>2590</v>
      </c>
      <c r="J24" s="52" t="s">
        <v>2586</v>
      </c>
      <c r="K24" s="53" t="s">
        <v>2291</v>
      </c>
      <c r="L24">
        <f t="shared" si="1"/>
        <v>17</v>
      </c>
      <c r="M24" s="8"/>
    </row>
    <row r="25" spans="1:13" x14ac:dyDescent="0.35">
      <c r="A25">
        <f t="shared" si="0"/>
        <v>18</v>
      </c>
      <c r="B25" s="23" t="s">
        <v>3023</v>
      </c>
      <c r="C25" s="487" t="s">
        <v>3024</v>
      </c>
      <c r="D25" s="425" t="s">
        <v>3025</v>
      </c>
      <c r="E25" s="522" t="s">
        <v>3026</v>
      </c>
      <c r="F25" s="1054" t="s">
        <v>3027</v>
      </c>
      <c r="G25" s="1" t="s">
        <v>3028</v>
      </c>
      <c r="H25" s="1" t="s">
        <v>3029</v>
      </c>
      <c r="I25" s="1" t="s">
        <v>3028</v>
      </c>
      <c r="J25" s="1055">
        <v>0</v>
      </c>
      <c r="K25" s="53" t="s">
        <v>45</v>
      </c>
      <c r="L25">
        <f t="shared" si="1"/>
        <v>18</v>
      </c>
      <c r="M25" s="8"/>
    </row>
    <row r="26" spans="1:13" x14ac:dyDescent="0.35">
      <c r="A26">
        <f t="shared" si="0"/>
        <v>19</v>
      </c>
      <c r="B26" s="23" t="s">
        <v>3041</v>
      </c>
      <c r="C26" s="487" t="s">
        <v>2485</v>
      </c>
      <c r="D26" s="487" t="s">
        <v>2317</v>
      </c>
      <c r="E26" s="1" t="s">
        <v>3035</v>
      </c>
      <c r="F26" s="1" t="s">
        <v>3036</v>
      </c>
      <c r="G26" s="1" t="s">
        <v>3040</v>
      </c>
      <c r="H26" s="1" t="s">
        <v>2485</v>
      </c>
      <c r="I26" s="1" t="s">
        <v>2452</v>
      </c>
      <c r="J26" s="52" t="s">
        <v>2485</v>
      </c>
      <c r="K26" s="53" t="s">
        <v>2288</v>
      </c>
      <c r="L26">
        <f t="shared" si="1"/>
        <v>19</v>
      </c>
      <c r="M26" s="8"/>
    </row>
    <row r="27" spans="1:13" x14ac:dyDescent="0.35">
      <c r="A27">
        <f t="shared" si="0"/>
        <v>20</v>
      </c>
      <c r="B27" s="23" t="s">
        <v>2491</v>
      </c>
      <c r="C27" s="487" t="s">
        <v>2290</v>
      </c>
      <c r="D27" s="1177" t="s">
        <v>2393</v>
      </c>
      <c r="E27" s="522" t="s">
        <v>2705</v>
      </c>
      <c r="F27" s="1" t="s">
        <v>2706</v>
      </c>
      <c r="G27" s="1" t="s">
        <v>2709</v>
      </c>
      <c r="H27" s="1" t="s">
        <v>2292</v>
      </c>
      <c r="I27" s="1" t="s">
        <v>2709</v>
      </c>
      <c r="J27" s="52" t="s">
        <v>2351</v>
      </c>
      <c r="K27" s="53" t="s">
        <v>2291</v>
      </c>
      <c r="L27">
        <f t="shared" si="1"/>
        <v>20</v>
      </c>
      <c r="M27" s="8"/>
    </row>
    <row r="28" spans="1:13" ht="15" thickBot="1" x14ac:dyDescent="0.4">
      <c r="A28">
        <f t="shared" si="0"/>
        <v>21</v>
      </c>
      <c r="B28" s="23" t="s">
        <v>3092</v>
      </c>
      <c r="C28" s="487" t="s">
        <v>1490</v>
      </c>
      <c r="D28" s="425" t="s">
        <v>3129</v>
      </c>
      <c r="E28" s="522" t="s">
        <v>3167</v>
      </c>
      <c r="F28" s="1" t="s">
        <v>3167</v>
      </c>
      <c r="G28" s="1" t="s">
        <v>3130</v>
      </c>
      <c r="H28" s="1" t="s">
        <v>1490</v>
      </c>
      <c r="I28" s="1" t="s">
        <v>1490</v>
      </c>
      <c r="J28" s="52" t="s">
        <v>1491</v>
      </c>
      <c r="K28" s="53" t="s">
        <v>1491</v>
      </c>
      <c r="L28">
        <f t="shared" si="1"/>
        <v>21</v>
      </c>
      <c r="M28" s="8"/>
    </row>
    <row r="29" spans="1:13" ht="21.5" thickTop="1" x14ac:dyDescent="0.5">
      <c r="A29">
        <f t="shared" si="0"/>
        <v>22</v>
      </c>
      <c r="B29" s="702" t="s">
        <v>2550</v>
      </c>
      <c r="C29" s="915"/>
      <c r="D29" s="916"/>
      <c r="E29" s="917"/>
      <c r="F29" s="916"/>
      <c r="G29" s="918"/>
      <c r="H29" s="918"/>
      <c r="I29" s="918"/>
      <c r="J29" s="919"/>
      <c r="K29" s="499"/>
      <c r="L29">
        <f t="shared" si="1"/>
        <v>22</v>
      </c>
      <c r="M29" s="132"/>
    </row>
    <row r="30" spans="1:13" x14ac:dyDescent="0.35">
      <c r="A30">
        <f t="shared" si="0"/>
        <v>23</v>
      </c>
      <c r="B30" s="23" t="s">
        <v>1646</v>
      </c>
      <c r="C30" s="493" t="s">
        <v>1490</v>
      </c>
      <c r="D30" s="425" t="s">
        <v>1491</v>
      </c>
      <c r="E30" s="876" t="s">
        <v>2304</v>
      </c>
      <c r="F30" s="808" t="s">
        <v>1490</v>
      </c>
      <c r="G30" s="725" t="s">
        <v>1490</v>
      </c>
      <c r="H30" s="725" t="s">
        <v>1490</v>
      </c>
      <c r="I30" s="725" t="s">
        <v>1490</v>
      </c>
      <c r="J30" s="541" t="s">
        <v>2309</v>
      </c>
      <c r="K30" s="53" t="s">
        <v>1491</v>
      </c>
      <c r="L30">
        <f t="shared" si="1"/>
        <v>23</v>
      </c>
      <c r="M30" s="132" t="s">
        <v>45</v>
      </c>
    </row>
    <row r="31" spans="1:13" x14ac:dyDescent="0.35">
      <c r="A31">
        <f t="shared" si="0"/>
        <v>24</v>
      </c>
      <c r="B31" s="23" t="s">
        <v>1647</v>
      </c>
      <c r="C31" s="493" t="s">
        <v>1490</v>
      </c>
      <c r="D31" s="425" t="s">
        <v>1491</v>
      </c>
      <c r="E31" s="876" t="s">
        <v>2304</v>
      </c>
      <c r="F31" s="808" t="s">
        <v>1490</v>
      </c>
      <c r="G31" s="725" t="s">
        <v>1490</v>
      </c>
      <c r="H31" s="725" t="s">
        <v>1490</v>
      </c>
      <c r="I31" s="725" t="s">
        <v>1490</v>
      </c>
      <c r="J31" s="541" t="s">
        <v>2310</v>
      </c>
      <c r="K31" s="53" t="s">
        <v>1491</v>
      </c>
      <c r="L31">
        <f t="shared" si="1"/>
        <v>24</v>
      </c>
      <c r="M31" s="132" t="s">
        <v>45</v>
      </c>
    </row>
    <row r="32" spans="1:13" x14ac:dyDescent="0.35">
      <c r="A32">
        <f t="shared" si="0"/>
        <v>25</v>
      </c>
      <c r="B32" s="23" t="s">
        <v>2311</v>
      </c>
      <c r="C32" s="493" t="s">
        <v>1490</v>
      </c>
      <c r="D32" s="425" t="s">
        <v>1491</v>
      </c>
      <c r="E32" s="876" t="s">
        <v>2304</v>
      </c>
      <c r="F32" s="808" t="s">
        <v>1490</v>
      </c>
      <c r="G32" s="725" t="s">
        <v>1490</v>
      </c>
      <c r="H32" s="725" t="s">
        <v>1490</v>
      </c>
      <c r="I32" s="725" t="s">
        <v>1490</v>
      </c>
      <c r="J32" s="541" t="s">
        <v>1615</v>
      </c>
      <c r="K32" s="53" t="s">
        <v>1491</v>
      </c>
      <c r="L32">
        <f t="shared" si="1"/>
        <v>25</v>
      </c>
      <c r="M32" s="132" t="s">
        <v>45</v>
      </c>
    </row>
    <row r="33" spans="1:13" x14ac:dyDescent="0.35">
      <c r="A33">
        <f t="shared" si="0"/>
        <v>26</v>
      </c>
      <c r="B33" s="23" t="s">
        <v>1637</v>
      </c>
      <c r="C33" s="493" t="s">
        <v>1490</v>
      </c>
      <c r="D33" s="425" t="s">
        <v>1491</v>
      </c>
      <c r="E33" s="876" t="s">
        <v>2304</v>
      </c>
      <c r="F33" s="808" t="s">
        <v>1490</v>
      </c>
      <c r="G33" s="725" t="s">
        <v>1490</v>
      </c>
      <c r="H33" s="725" t="s">
        <v>1490</v>
      </c>
      <c r="I33" s="725" t="s">
        <v>1490</v>
      </c>
      <c r="J33" s="541" t="s">
        <v>1657</v>
      </c>
      <c r="K33" s="53" t="s">
        <v>1491</v>
      </c>
      <c r="L33">
        <f t="shared" si="1"/>
        <v>26</v>
      </c>
      <c r="M33" s="132" t="s">
        <v>45</v>
      </c>
    </row>
    <row r="34" spans="1:13" x14ac:dyDescent="0.35">
      <c r="A34">
        <f t="shared" si="0"/>
        <v>27</v>
      </c>
      <c r="B34" s="23" t="s">
        <v>3197</v>
      </c>
      <c r="C34" s="493" t="s">
        <v>1490</v>
      </c>
      <c r="D34" s="425" t="s">
        <v>1491</v>
      </c>
      <c r="E34" s="876" t="s">
        <v>2304</v>
      </c>
      <c r="F34" s="808" t="s">
        <v>1490</v>
      </c>
      <c r="G34" s="725" t="s">
        <v>1490</v>
      </c>
      <c r="H34" s="725" t="s">
        <v>1490</v>
      </c>
      <c r="I34" s="725" t="s">
        <v>1490</v>
      </c>
      <c r="J34" s="541" t="s">
        <v>1490</v>
      </c>
      <c r="K34" s="53" t="s">
        <v>1491</v>
      </c>
      <c r="L34">
        <f t="shared" si="1"/>
        <v>27</v>
      </c>
      <c r="M34" s="132"/>
    </row>
    <row r="35" spans="1:13" x14ac:dyDescent="0.35">
      <c r="A35">
        <f t="shared" si="0"/>
        <v>28</v>
      </c>
      <c r="B35" s="23" t="s">
        <v>3198</v>
      </c>
      <c r="C35" s="493" t="s">
        <v>1490</v>
      </c>
      <c r="D35" s="425" t="s">
        <v>1491</v>
      </c>
      <c r="E35" s="876" t="s">
        <v>2304</v>
      </c>
      <c r="F35" s="808" t="s">
        <v>1490</v>
      </c>
      <c r="G35" s="725" t="s">
        <v>1490</v>
      </c>
      <c r="H35" s="725" t="s">
        <v>1490</v>
      </c>
      <c r="I35" s="725" t="s">
        <v>1490</v>
      </c>
      <c r="J35" s="541" t="s">
        <v>3201</v>
      </c>
      <c r="K35" s="53" t="s">
        <v>1491</v>
      </c>
      <c r="L35">
        <f t="shared" si="1"/>
        <v>28</v>
      </c>
      <c r="M35" s="132"/>
    </row>
    <row r="36" spans="1:13" x14ac:dyDescent="0.35">
      <c r="A36">
        <f t="shared" si="0"/>
        <v>29</v>
      </c>
      <c r="B36" s="23" t="s">
        <v>3199</v>
      </c>
      <c r="C36" s="493" t="s">
        <v>1490</v>
      </c>
      <c r="D36" s="425" t="s">
        <v>1491</v>
      </c>
      <c r="E36" s="876" t="s">
        <v>2304</v>
      </c>
      <c r="F36" s="808" t="s">
        <v>1490</v>
      </c>
      <c r="G36" s="725" t="s">
        <v>1490</v>
      </c>
      <c r="H36" s="725" t="s">
        <v>1490</v>
      </c>
      <c r="I36" s="725" t="s">
        <v>1490</v>
      </c>
      <c r="J36" s="541" t="s">
        <v>3201</v>
      </c>
      <c r="K36" s="53" t="s">
        <v>1491</v>
      </c>
      <c r="L36">
        <f t="shared" si="1"/>
        <v>29</v>
      </c>
      <c r="M36" s="132"/>
    </row>
    <row r="37" spans="1:13" x14ac:dyDescent="0.35">
      <c r="A37">
        <f t="shared" si="0"/>
        <v>30</v>
      </c>
      <c r="B37" s="23" t="s">
        <v>3200</v>
      </c>
      <c r="C37" s="493" t="s">
        <v>1490</v>
      </c>
      <c r="D37" s="425" t="s">
        <v>1491</v>
      </c>
      <c r="E37" s="876" t="s">
        <v>2304</v>
      </c>
      <c r="F37" s="808" t="s">
        <v>1490</v>
      </c>
      <c r="G37" s="725" t="s">
        <v>1490</v>
      </c>
      <c r="H37" s="725" t="s">
        <v>1490</v>
      </c>
      <c r="I37" s="725" t="s">
        <v>1490</v>
      </c>
      <c r="J37" s="541" t="s">
        <v>3201</v>
      </c>
      <c r="K37" s="53" t="s">
        <v>1491</v>
      </c>
      <c r="L37">
        <f t="shared" si="1"/>
        <v>30</v>
      </c>
      <c r="M37" s="132"/>
    </row>
    <row r="38" spans="1:13" x14ac:dyDescent="0.35">
      <c r="A38">
        <f t="shared" si="0"/>
        <v>31</v>
      </c>
      <c r="B38" s="23" t="s">
        <v>1638</v>
      </c>
      <c r="C38" s="493" t="s">
        <v>1490</v>
      </c>
      <c r="D38" s="425" t="s">
        <v>1491</v>
      </c>
      <c r="E38" s="876" t="s">
        <v>2304</v>
      </c>
      <c r="F38" s="808" t="s">
        <v>1490</v>
      </c>
      <c r="G38" s="725" t="s">
        <v>1490</v>
      </c>
      <c r="H38" s="725" t="s">
        <v>1490</v>
      </c>
      <c r="I38" s="725" t="s">
        <v>1490</v>
      </c>
      <c r="J38" s="541" t="s">
        <v>1656</v>
      </c>
      <c r="K38" s="53" t="s">
        <v>1491</v>
      </c>
      <c r="L38">
        <f t="shared" si="1"/>
        <v>31</v>
      </c>
      <c r="M38" s="132" t="s">
        <v>45</v>
      </c>
    </row>
    <row r="39" spans="1:13" x14ac:dyDescent="0.35">
      <c r="A39">
        <f t="shared" si="0"/>
        <v>32</v>
      </c>
      <c r="B39" s="23" t="s">
        <v>1639</v>
      </c>
      <c r="C39" s="493" t="s">
        <v>1490</v>
      </c>
      <c r="D39" s="425" t="s">
        <v>1491</v>
      </c>
      <c r="E39" s="876" t="s">
        <v>2304</v>
      </c>
      <c r="F39" s="808" t="s">
        <v>1490</v>
      </c>
      <c r="G39" s="725" t="s">
        <v>1490</v>
      </c>
      <c r="H39" s="725" t="s">
        <v>1490</v>
      </c>
      <c r="I39" s="725" t="s">
        <v>1490</v>
      </c>
      <c r="J39" s="541" t="s">
        <v>1658</v>
      </c>
      <c r="K39" s="53" t="s">
        <v>1491</v>
      </c>
      <c r="L39">
        <f t="shared" si="1"/>
        <v>32</v>
      </c>
      <c r="M39" s="132" t="s">
        <v>45</v>
      </c>
    </row>
    <row r="40" spans="1:13" x14ac:dyDescent="0.35">
      <c r="A40">
        <f t="shared" si="0"/>
        <v>33</v>
      </c>
      <c r="B40" s="23" t="s">
        <v>1640</v>
      </c>
      <c r="C40" s="493" t="s">
        <v>1490</v>
      </c>
      <c r="D40" s="425" t="s">
        <v>1491</v>
      </c>
      <c r="E40" s="876" t="s">
        <v>2304</v>
      </c>
      <c r="F40" s="808" t="s">
        <v>1490</v>
      </c>
      <c r="G40" s="725" t="s">
        <v>1490</v>
      </c>
      <c r="H40" s="725" t="s">
        <v>1490</v>
      </c>
      <c r="I40" s="725" t="s">
        <v>1490</v>
      </c>
      <c r="J40" s="541" t="s">
        <v>1659</v>
      </c>
      <c r="K40" s="53" t="s">
        <v>1491</v>
      </c>
      <c r="L40">
        <f t="shared" si="1"/>
        <v>33</v>
      </c>
      <c r="M40" s="132" t="s">
        <v>45</v>
      </c>
    </row>
    <row r="41" spans="1:13" x14ac:dyDescent="0.35">
      <c r="A41">
        <f t="shared" si="0"/>
        <v>34</v>
      </c>
      <c r="B41" s="23" t="s">
        <v>1641</v>
      </c>
      <c r="C41" s="493" t="s">
        <v>1490</v>
      </c>
      <c r="D41" s="425" t="s">
        <v>1491</v>
      </c>
      <c r="E41" s="876" t="s">
        <v>2304</v>
      </c>
      <c r="F41" s="808" t="s">
        <v>1490</v>
      </c>
      <c r="G41" s="725" t="s">
        <v>1490</v>
      </c>
      <c r="H41" s="725" t="s">
        <v>1490</v>
      </c>
      <c r="I41" s="725" t="s">
        <v>1490</v>
      </c>
      <c r="J41" s="541" t="s">
        <v>1490</v>
      </c>
      <c r="K41" s="53" t="s">
        <v>1491</v>
      </c>
      <c r="L41">
        <f t="shared" si="1"/>
        <v>34</v>
      </c>
      <c r="M41" s="132" t="s">
        <v>45</v>
      </c>
    </row>
    <row r="42" spans="1:13" x14ac:dyDescent="0.35">
      <c r="A42">
        <f t="shared" si="0"/>
        <v>35</v>
      </c>
      <c r="B42" s="23" t="s">
        <v>1642</v>
      </c>
      <c r="C42" s="493" t="s">
        <v>1490</v>
      </c>
      <c r="D42" s="425" t="s">
        <v>1491</v>
      </c>
      <c r="E42" s="876" t="s">
        <v>2304</v>
      </c>
      <c r="F42" s="808" t="s">
        <v>1490</v>
      </c>
      <c r="G42" s="725" t="s">
        <v>1490</v>
      </c>
      <c r="H42" s="725" t="s">
        <v>1490</v>
      </c>
      <c r="I42" s="725" t="s">
        <v>1490</v>
      </c>
      <c r="J42" s="541" t="s">
        <v>1490</v>
      </c>
      <c r="K42" s="53" t="s">
        <v>1491</v>
      </c>
      <c r="L42">
        <f t="shared" si="1"/>
        <v>35</v>
      </c>
      <c r="M42" s="132" t="s">
        <v>45</v>
      </c>
    </row>
    <row r="43" spans="1:13" x14ac:dyDescent="0.35">
      <c r="A43">
        <f t="shared" si="0"/>
        <v>36</v>
      </c>
      <c r="B43" s="23" t="s">
        <v>1645</v>
      </c>
      <c r="C43" s="493" t="s">
        <v>1490</v>
      </c>
      <c r="D43" s="425" t="s">
        <v>1491</v>
      </c>
      <c r="E43" s="876" t="s">
        <v>2304</v>
      </c>
      <c r="F43" s="808" t="s">
        <v>1490</v>
      </c>
      <c r="G43" s="725" t="s">
        <v>1490</v>
      </c>
      <c r="H43" s="725" t="s">
        <v>1490</v>
      </c>
      <c r="I43" s="725" t="s">
        <v>1490</v>
      </c>
      <c r="J43" s="541" t="s">
        <v>1490</v>
      </c>
      <c r="K43" s="53" t="s">
        <v>1491</v>
      </c>
      <c r="L43">
        <f t="shared" si="1"/>
        <v>36</v>
      </c>
      <c r="M43" s="132" t="s">
        <v>45</v>
      </c>
    </row>
    <row r="44" spans="1:13" x14ac:dyDescent="0.35">
      <c r="A44">
        <f t="shared" si="0"/>
        <v>37</v>
      </c>
      <c r="B44" s="23" t="s">
        <v>1643</v>
      </c>
      <c r="C44" s="493" t="s">
        <v>1490</v>
      </c>
      <c r="D44" s="425" t="s">
        <v>1491</v>
      </c>
      <c r="E44" s="876" t="s">
        <v>2304</v>
      </c>
      <c r="F44" s="808" t="s">
        <v>1490</v>
      </c>
      <c r="G44" s="725" t="s">
        <v>1490</v>
      </c>
      <c r="H44" s="725" t="s">
        <v>1490</v>
      </c>
      <c r="I44" s="725" t="s">
        <v>1490</v>
      </c>
      <c r="J44" s="541" t="s">
        <v>1490</v>
      </c>
      <c r="K44" s="53" t="s">
        <v>1491</v>
      </c>
      <c r="L44">
        <f t="shared" si="1"/>
        <v>37</v>
      </c>
      <c r="M44" s="132" t="s">
        <v>45</v>
      </c>
    </row>
    <row r="45" spans="1:13" x14ac:dyDescent="0.35">
      <c r="A45">
        <f t="shared" si="0"/>
        <v>38</v>
      </c>
      <c r="B45" s="23" t="s">
        <v>1644</v>
      </c>
      <c r="C45" s="493" t="s">
        <v>1490</v>
      </c>
      <c r="D45" s="425" t="s">
        <v>1491</v>
      </c>
      <c r="E45" s="876" t="s">
        <v>2304</v>
      </c>
      <c r="F45" s="808" t="s">
        <v>1490</v>
      </c>
      <c r="G45" s="725" t="s">
        <v>1490</v>
      </c>
      <c r="H45" s="725" t="s">
        <v>1490</v>
      </c>
      <c r="I45" s="725" t="s">
        <v>1490</v>
      </c>
      <c r="J45" s="541" t="s">
        <v>1490</v>
      </c>
      <c r="K45" s="53" t="s">
        <v>1491</v>
      </c>
      <c r="L45">
        <f t="shared" si="1"/>
        <v>38</v>
      </c>
      <c r="M45" s="132" t="s">
        <v>45</v>
      </c>
    </row>
    <row r="46" spans="1:13" x14ac:dyDescent="0.35">
      <c r="A46">
        <f t="shared" si="0"/>
        <v>39</v>
      </c>
      <c r="B46" s="23" t="s">
        <v>3019</v>
      </c>
      <c r="C46" s="486" t="s">
        <v>3020</v>
      </c>
      <c r="D46" s="425" t="s">
        <v>1491</v>
      </c>
      <c r="E46" s="879" t="s">
        <v>3090</v>
      </c>
      <c r="F46" s="808" t="s">
        <v>1490</v>
      </c>
      <c r="G46" s="725" t="s">
        <v>1490</v>
      </c>
      <c r="H46" s="808" t="s">
        <v>2482</v>
      </c>
      <c r="I46" s="725" t="s">
        <v>2506</v>
      </c>
      <c r="J46" s="541" t="s">
        <v>3018</v>
      </c>
      <c r="K46" s="428" t="s">
        <v>1491</v>
      </c>
      <c r="L46">
        <f t="shared" si="1"/>
        <v>39</v>
      </c>
      <c r="M46" s="132" t="s">
        <v>45</v>
      </c>
    </row>
    <row r="47" spans="1:13" ht="15" thickBot="1" x14ac:dyDescent="0.4">
      <c r="A47">
        <f t="shared" si="0"/>
        <v>40</v>
      </c>
      <c r="B47" s="27"/>
      <c r="C47" s="799"/>
      <c r="D47" s="538"/>
      <c r="E47" s="877"/>
      <c r="F47" s="810"/>
      <c r="G47" s="810"/>
      <c r="H47" s="810"/>
      <c r="I47" s="810"/>
      <c r="J47" s="542"/>
      <c r="K47" s="544"/>
      <c r="L47">
        <f t="shared" si="1"/>
        <v>40</v>
      </c>
      <c r="M47" s="132" t="s">
        <v>45</v>
      </c>
    </row>
    <row r="48" spans="1:13" ht="21.5" thickTop="1" x14ac:dyDescent="0.5">
      <c r="A48">
        <f t="shared" si="0"/>
        <v>41</v>
      </c>
      <c r="B48" s="702" t="s">
        <v>2502</v>
      </c>
      <c r="C48" s="490"/>
      <c r="D48" s="456"/>
      <c r="E48" s="455"/>
      <c r="F48" s="456"/>
      <c r="G48" s="456"/>
      <c r="H48" s="456"/>
      <c r="I48" s="456"/>
      <c r="J48" s="455"/>
      <c r="K48" s="469"/>
      <c r="L48">
        <f t="shared" si="1"/>
        <v>41</v>
      </c>
      <c r="M48" s="132" t="s">
        <v>45</v>
      </c>
    </row>
    <row r="49" spans="1:13" x14ac:dyDescent="0.35">
      <c r="A49">
        <f t="shared" si="0"/>
        <v>42</v>
      </c>
      <c r="B49" s="23" t="s">
        <v>3066</v>
      </c>
      <c r="C49" s="493" t="s">
        <v>2298</v>
      </c>
      <c r="D49" s="425" t="s">
        <v>2294</v>
      </c>
      <c r="E49" s="876" t="s">
        <v>2293</v>
      </c>
      <c r="F49" s="808" t="s">
        <v>2298</v>
      </c>
      <c r="G49" s="725" t="s">
        <v>2297</v>
      </c>
      <c r="H49" s="725" t="s">
        <v>2297</v>
      </c>
      <c r="I49" s="725" t="s">
        <v>2297</v>
      </c>
      <c r="J49" s="541" t="s">
        <v>3069</v>
      </c>
      <c r="K49" s="53" t="s">
        <v>1491</v>
      </c>
      <c r="L49">
        <f t="shared" si="1"/>
        <v>42</v>
      </c>
      <c r="M49" s="132" t="s">
        <v>45</v>
      </c>
    </row>
    <row r="50" spans="1:13" x14ac:dyDescent="0.35">
      <c r="A50">
        <f t="shared" si="0"/>
        <v>43</v>
      </c>
      <c r="B50" s="23" t="s">
        <v>3067</v>
      </c>
      <c r="C50" s="493" t="s">
        <v>2299</v>
      </c>
      <c r="D50" s="425" t="s">
        <v>2295</v>
      </c>
      <c r="E50" s="876" t="s">
        <v>2296</v>
      </c>
      <c r="F50" s="808" t="s">
        <v>2299</v>
      </c>
      <c r="G50" s="725" t="s">
        <v>2300</v>
      </c>
      <c r="H50" s="725" t="s">
        <v>2300</v>
      </c>
      <c r="I50" s="725" t="s">
        <v>2300</v>
      </c>
      <c r="J50" s="541" t="s">
        <v>3068</v>
      </c>
      <c r="K50" s="53" t="s">
        <v>1491</v>
      </c>
      <c r="L50">
        <f t="shared" si="1"/>
        <v>43</v>
      </c>
      <c r="M50" s="132" t="s">
        <v>45</v>
      </c>
    </row>
    <row r="51" spans="1:13" x14ac:dyDescent="0.35">
      <c r="A51">
        <f t="shared" si="0"/>
        <v>44</v>
      </c>
      <c r="B51" s="23" t="s">
        <v>2501</v>
      </c>
      <c r="C51" s="493" t="s">
        <v>2301</v>
      </c>
      <c r="D51" s="425" t="s">
        <v>2303</v>
      </c>
      <c r="E51" s="876" t="s">
        <v>2302</v>
      </c>
      <c r="F51" s="808" t="s">
        <v>2301</v>
      </c>
      <c r="G51" s="725" t="s">
        <v>3021</v>
      </c>
      <c r="H51" s="725" t="s">
        <v>3021</v>
      </c>
      <c r="I51" s="725" t="s">
        <v>3021</v>
      </c>
      <c r="J51" s="541" t="s">
        <v>3022</v>
      </c>
      <c r="K51" s="53" t="s">
        <v>1491</v>
      </c>
      <c r="L51">
        <f t="shared" si="1"/>
        <v>44</v>
      </c>
      <c r="M51" s="132" t="s">
        <v>45</v>
      </c>
    </row>
    <row r="52" spans="1:13" x14ac:dyDescent="0.35">
      <c r="A52">
        <f t="shared" si="0"/>
        <v>45</v>
      </c>
      <c r="B52" s="23" t="s">
        <v>3055</v>
      </c>
      <c r="C52" s="493" t="s">
        <v>1490</v>
      </c>
      <c r="D52" s="425" t="s">
        <v>3056</v>
      </c>
      <c r="E52" s="876" t="s">
        <v>1490</v>
      </c>
      <c r="F52" s="808" t="s">
        <v>1490</v>
      </c>
      <c r="G52" s="725" t="s">
        <v>1490</v>
      </c>
      <c r="H52" s="725" t="s">
        <v>1490</v>
      </c>
      <c r="I52" s="725" t="s">
        <v>1490</v>
      </c>
      <c r="J52" s="541" t="s">
        <v>1490</v>
      </c>
      <c r="K52" s="53" t="s">
        <v>1491</v>
      </c>
      <c r="L52">
        <f t="shared" si="1"/>
        <v>45</v>
      </c>
      <c r="M52" s="132" t="s">
        <v>45</v>
      </c>
    </row>
    <row r="53" spans="1:13" x14ac:dyDescent="0.35">
      <c r="A53">
        <f t="shared" si="0"/>
        <v>46</v>
      </c>
      <c r="B53" s="23" t="s">
        <v>3057</v>
      </c>
      <c r="C53" s="493" t="s">
        <v>1490</v>
      </c>
      <c r="D53" s="425" t="s">
        <v>3058</v>
      </c>
      <c r="E53" s="876" t="s">
        <v>1490</v>
      </c>
      <c r="F53" s="808" t="s">
        <v>1490</v>
      </c>
      <c r="G53" s="725" t="s">
        <v>1490</v>
      </c>
      <c r="H53" s="725" t="s">
        <v>1490</v>
      </c>
      <c r="I53" s="725" t="s">
        <v>1490</v>
      </c>
      <c r="J53" s="541" t="s">
        <v>1490</v>
      </c>
      <c r="K53" s="53" t="s">
        <v>1491</v>
      </c>
      <c r="L53">
        <f t="shared" si="1"/>
        <v>46</v>
      </c>
      <c r="M53" s="132"/>
    </row>
    <row r="54" spans="1:13" x14ac:dyDescent="0.35">
      <c r="A54">
        <f t="shared" si="0"/>
        <v>47</v>
      </c>
      <c r="B54" s="23" t="s">
        <v>3059</v>
      </c>
      <c r="C54" s="493" t="s">
        <v>3060</v>
      </c>
      <c r="D54" s="425" t="s">
        <v>3061</v>
      </c>
      <c r="E54" s="876" t="s">
        <v>1490</v>
      </c>
      <c r="F54" s="808" t="s">
        <v>1490</v>
      </c>
      <c r="G54" s="725" t="s">
        <v>1490</v>
      </c>
      <c r="H54" s="725" t="s">
        <v>1490</v>
      </c>
      <c r="I54" s="725" t="s">
        <v>1490</v>
      </c>
      <c r="J54" s="541" t="s">
        <v>1499</v>
      </c>
      <c r="K54" s="53" t="s">
        <v>1491</v>
      </c>
      <c r="L54">
        <f t="shared" si="1"/>
        <v>47</v>
      </c>
      <c r="M54" s="132" t="s">
        <v>45</v>
      </c>
    </row>
    <row r="55" spans="1:13" x14ac:dyDescent="0.35">
      <c r="A55">
        <f t="shared" si="0"/>
        <v>48</v>
      </c>
      <c r="B55" s="23" t="s">
        <v>3062</v>
      </c>
      <c r="C55" s="493" t="s">
        <v>1490</v>
      </c>
      <c r="D55" s="425" t="s">
        <v>3063</v>
      </c>
      <c r="E55" s="876" t="s">
        <v>1490</v>
      </c>
      <c r="F55" s="808" t="s">
        <v>1490</v>
      </c>
      <c r="G55" s="725" t="s">
        <v>1490</v>
      </c>
      <c r="H55" s="725" t="s">
        <v>1490</v>
      </c>
      <c r="I55" s="725" t="s">
        <v>1490</v>
      </c>
      <c r="J55" s="541" t="s">
        <v>1490</v>
      </c>
      <c r="K55" s="53" t="s">
        <v>1491</v>
      </c>
      <c r="L55">
        <f t="shared" si="1"/>
        <v>48</v>
      </c>
      <c r="M55" s="132" t="s">
        <v>45</v>
      </c>
    </row>
    <row r="56" spans="1:13" x14ac:dyDescent="0.35">
      <c r="A56">
        <f t="shared" si="0"/>
        <v>49</v>
      </c>
      <c r="B56" s="23" t="s">
        <v>1492</v>
      </c>
      <c r="C56" s="493" t="s">
        <v>1490</v>
      </c>
      <c r="D56" s="425" t="s">
        <v>1490</v>
      </c>
      <c r="E56" s="876" t="s">
        <v>1490</v>
      </c>
      <c r="F56" s="808" t="s">
        <v>1490</v>
      </c>
      <c r="G56" s="725" t="s">
        <v>1490</v>
      </c>
      <c r="H56" s="725" t="s">
        <v>1490</v>
      </c>
      <c r="I56" s="725" t="s">
        <v>1490</v>
      </c>
      <c r="J56" s="541" t="s">
        <v>1491</v>
      </c>
      <c r="K56" s="53" t="s">
        <v>1491</v>
      </c>
      <c r="L56">
        <f t="shared" si="1"/>
        <v>49</v>
      </c>
      <c r="M56" s="132" t="s">
        <v>45</v>
      </c>
    </row>
    <row r="57" spans="1:13" x14ac:dyDescent="0.35">
      <c r="A57">
        <f t="shared" si="0"/>
        <v>50</v>
      </c>
      <c r="B57" s="23" t="s">
        <v>1521</v>
      </c>
      <c r="C57" s="493" t="s">
        <v>1522</v>
      </c>
      <c r="D57" s="425" t="s">
        <v>1490</v>
      </c>
      <c r="E57" s="876" t="s">
        <v>1490</v>
      </c>
      <c r="F57" s="808" t="s">
        <v>1490</v>
      </c>
      <c r="G57" s="725" t="s">
        <v>1490</v>
      </c>
      <c r="H57" s="725" t="s">
        <v>1490</v>
      </c>
      <c r="I57" s="725" t="s">
        <v>1490</v>
      </c>
      <c r="J57" s="541" t="s">
        <v>1491</v>
      </c>
      <c r="K57" s="53" t="s">
        <v>1491</v>
      </c>
      <c r="L57">
        <f t="shared" si="1"/>
        <v>50</v>
      </c>
      <c r="M57" s="132" t="s">
        <v>45</v>
      </c>
    </row>
    <row r="58" spans="1:13" x14ac:dyDescent="0.35">
      <c r="A58">
        <f t="shared" si="0"/>
        <v>51</v>
      </c>
      <c r="B58" s="23" t="s">
        <v>1523</v>
      </c>
      <c r="C58" s="493" t="s">
        <v>1524</v>
      </c>
      <c r="D58" s="425" t="s">
        <v>1490</v>
      </c>
      <c r="E58" s="876" t="s">
        <v>1490</v>
      </c>
      <c r="F58" s="808" t="s">
        <v>1490</v>
      </c>
      <c r="G58" s="725" t="s">
        <v>1490</v>
      </c>
      <c r="H58" s="725" t="s">
        <v>1490</v>
      </c>
      <c r="I58" s="725" t="s">
        <v>1490</v>
      </c>
      <c r="J58" s="541" t="s">
        <v>1491</v>
      </c>
      <c r="K58" s="53" t="s">
        <v>1491</v>
      </c>
      <c r="L58">
        <f t="shared" si="1"/>
        <v>51</v>
      </c>
      <c r="M58" s="132" t="s">
        <v>45</v>
      </c>
    </row>
    <row r="59" spans="1:13" x14ac:dyDescent="0.35">
      <c r="A59">
        <f t="shared" si="0"/>
        <v>52</v>
      </c>
      <c r="B59" s="23" t="s">
        <v>1525</v>
      </c>
      <c r="C59" s="493" t="s">
        <v>1526</v>
      </c>
      <c r="D59" s="425" t="s">
        <v>1527</v>
      </c>
      <c r="E59" s="876" t="s">
        <v>1490</v>
      </c>
      <c r="F59" s="808" t="s">
        <v>1490</v>
      </c>
      <c r="G59" s="725" t="s">
        <v>1490</v>
      </c>
      <c r="H59" s="725" t="s">
        <v>1490</v>
      </c>
      <c r="I59" s="725" t="s">
        <v>1490</v>
      </c>
      <c r="J59" s="541" t="s">
        <v>1491</v>
      </c>
      <c r="K59" s="53" t="s">
        <v>1491</v>
      </c>
      <c r="L59">
        <f t="shared" si="1"/>
        <v>52</v>
      </c>
      <c r="M59" s="132" t="s">
        <v>45</v>
      </c>
    </row>
    <row r="60" spans="1:13" x14ac:dyDescent="0.35">
      <c r="A60">
        <f t="shared" si="0"/>
        <v>53</v>
      </c>
      <c r="B60" s="23" t="s">
        <v>1653</v>
      </c>
      <c r="C60" s="493" t="s">
        <v>1490</v>
      </c>
      <c r="D60" s="425" t="s">
        <v>3064</v>
      </c>
      <c r="E60" s="876" t="s">
        <v>1490</v>
      </c>
      <c r="F60" s="808" t="s">
        <v>1490</v>
      </c>
      <c r="G60" s="725" t="s">
        <v>1490</v>
      </c>
      <c r="H60" s="725" t="s">
        <v>1490</v>
      </c>
      <c r="I60" s="725" t="s">
        <v>1490</v>
      </c>
      <c r="J60" s="541" t="s">
        <v>1491</v>
      </c>
      <c r="K60" s="53" t="s">
        <v>1491</v>
      </c>
      <c r="L60">
        <f t="shared" si="1"/>
        <v>53</v>
      </c>
      <c r="M60" s="132" t="s">
        <v>45</v>
      </c>
    </row>
    <row r="61" spans="1:13" ht="15" thickBot="1" x14ac:dyDescent="0.4">
      <c r="A61">
        <f t="shared" si="0"/>
        <v>54</v>
      </c>
      <c r="B61" s="27"/>
      <c r="C61" s="799"/>
      <c r="D61" s="538"/>
      <c r="E61" s="877"/>
      <c r="F61" s="810"/>
      <c r="G61" s="736"/>
      <c r="H61" s="736"/>
      <c r="I61" s="736"/>
      <c r="J61" s="542"/>
      <c r="K61" s="868"/>
      <c r="L61">
        <f t="shared" si="1"/>
        <v>54</v>
      </c>
      <c r="M61" s="132"/>
    </row>
    <row r="62" spans="1:13" ht="15" thickTop="1" x14ac:dyDescent="0.35">
      <c r="B62" s="199" t="s">
        <v>2496</v>
      </c>
    </row>
    <row r="64" spans="1:13" x14ac:dyDescent="0.35">
      <c r="B64" s="8" t="s">
        <v>2937</v>
      </c>
    </row>
    <row r="65" spans="1:13" x14ac:dyDescent="0.35">
      <c r="B65" t="s">
        <v>2938</v>
      </c>
      <c r="C65" s="185">
        <f>40000/6</f>
        <v>6666.666666666667</v>
      </c>
    </row>
    <row r="66" spans="1:13" x14ac:dyDescent="0.35">
      <c r="B66" t="s">
        <v>2939</v>
      </c>
      <c r="C66" s="185">
        <f>((200*8000)/1000)*0.1</f>
        <v>160</v>
      </c>
    </row>
    <row r="67" spans="1:13" x14ac:dyDescent="0.35">
      <c r="B67" t="s">
        <v>2940</v>
      </c>
      <c r="C67" s="185">
        <v>4000</v>
      </c>
    </row>
    <row r="68" spans="1:13" x14ac:dyDescent="0.35">
      <c r="B68" t="s">
        <v>2941</v>
      </c>
      <c r="C68" s="185">
        <v>4000</v>
      </c>
    </row>
    <row r="69" spans="1:13" x14ac:dyDescent="0.35">
      <c r="B69" s="8" t="s">
        <v>2942</v>
      </c>
      <c r="C69" s="1018">
        <f>SUM(C65:C68)</f>
        <v>14826.666666666668</v>
      </c>
    </row>
    <row r="70" spans="1:13" ht="24" thickBot="1" x14ac:dyDescent="0.6">
      <c r="B70" s="801" t="s">
        <v>38</v>
      </c>
      <c r="C70" s="85"/>
      <c r="D70" s="85"/>
      <c r="E70" s="85"/>
      <c r="F70" s="85"/>
      <c r="G70" s="85"/>
      <c r="H70" s="85"/>
      <c r="I70" s="85"/>
      <c r="J70" s="85"/>
    </row>
    <row r="71" spans="1:13" ht="15" thickTop="1" x14ac:dyDescent="0.35">
      <c r="B71" s="912" t="s">
        <v>2490</v>
      </c>
      <c r="C71" s="908"/>
      <c r="D71" s="908"/>
      <c r="E71" s="908"/>
      <c r="F71" s="908"/>
      <c r="G71" s="908"/>
      <c r="H71" s="908"/>
      <c r="I71" s="908"/>
      <c r="J71" s="712"/>
      <c r="K71" s="713"/>
      <c r="M71" s="132"/>
    </row>
    <row r="72" spans="1:13" ht="15" thickBot="1" x14ac:dyDescent="0.4">
      <c r="B72" s="1034" t="s">
        <v>2964</v>
      </c>
      <c r="C72" s="899"/>
      <c r="D72" s="899"/>
      <c r="E72" s="899"/>
      <c r="F72" s="899"/>
      <c r="G72" s="899"/>
      <c r="H72" s="899"/>
      <c r="I72" s="899"/>
      <c r="J72" s="715"/>
      <c r="K72" s="716"/>
      <c r="M72" s="132"/>
    </row>
    <row r="73" spans="1:13" ht="21.5" thickTop="1" x14ac:dyDescent="0.5">
      <c r="A73">
        <v>1</v>
      </c>
      <c r="B73" s="784" t="str">
        <f t="shared" ref="B73:K73" si="2">B8</f>
        <v>Type of life form</v>
      </c>
      <c r="C73" s="1065" t="str">
        <f t="shared" si="2"/>
        <v>Humans (Homo sapiens)</v>
      </c>
      <c r="D73" s="1065" t="str">
        <f t="shared" si="2"/>
        <v>Current AIs &amp; androids =</v>
      </c>
      <c r="E73" s="1066" t="str">
        <f t="shared" si="2"/>
        <v>First weak AGIs =</v>
      </c>
      <c r="F73" s="1066" t="str">
        <f t="shared" si="2"/>
        <v>First strong AGIs =</v>
      </c>
      <c r="G73" s="1066" t="str">
        <f t="shared" si="2"/>
        <v>Artificial super humans =</v>
      </c>
      <c r="H73" s="1066" t="str">
        <f t="shared" si="2"/>
        <v>Biological super humans =</v>
      </c>
      <c r="I73" s="1066" t="str">
        <f t="shared" si="2"/>
        <v>Hybrid super humans =</v>
      </c>
      <c r="J73" s="1067" t="str">
        <f t="shared" si="2"/>
        <v>First mammals</v>
      </c>
      <c r="K73" s="1068" t="str">
        <f t="shared" si="2"/>
        <v xml:space="preserve">First microbial life </v>
      </c>
      <c r="L73">
        <v>1</v>
      </c>
      <c r="M73" s="8"/>
    </row>
    <row r="74" spans="1:13" x14ac:dyDescent="0.35">
      <c r="A74">
        <f t="shared" ref="A74:A126" si="3">A73+1</f>
        <v>2</v>
      </c>
      <c r="B74" s="1020" t="str">
        <f t="shared" ref="B74:K74" si="4">B9</f>
        <v>Level of cognitive intelligence relative to human</v>
      </c>
      <c r="C74" s="487" t="str">
        <f t="shared" si="4"/>
        <v>Human level intelligence +</v>
      </c>
      <c r="D74" s="487" t="str">
        <f t="shared" si="4"/>
        <v xml:space="preserve">Sub-human level AGI + </v>
      </c>
      <c r="E74" s="1" t="str">
        <f t="shared" si="4"/>
        <v>Human level AGI +</v>
      </c>
      <c r="F74" s="1" t="str">
        <f t="shared" si="4"/>
        <v>Super human AGI +</v>
      </c>
      <c r="G74" s="1" t="str">
        <f t="shared" si="4"/>
        <v>Ultra human AGI +</v>
      </c>
      <c r="H74" s="1" t="str">
        <f t="shared" si="4"/>
        <v xml:space="preserve">Super human intelligence + </v>
      </c>
      <c r="I74" s="1" t="str">
        <f t="shared" si="4"/>
        <v xml:space="preserve">Ultra human hybrid intelligence + </v>
      </c>
      <c r="J74" s="52" t="str">
        <f t="shared" si="4"/>
        <v>Very sub-human +</v>
      </c>
      <c r="K74" s="53" t="str">
        <f t="shared" si="4"/>
        <v>None</v>
      </c>
      <c r="L74">
        <f t="shared" ref="L74:L126" si="5">L73+1</f>
        <v>2</v>
      </c>
      <c r="M74" s="8"/>
    </row>
    <row r="75" spans="1:13" x14ac:dyDescent="0.35">
      <c r="A75">
        <f t="shared" si="3"/>
        <v>3</v>
      </c>
      <c r="B75" s="1020" t="str">
        <f t="shared" ref="B75:K75" si="6">B10</f>
        <v>Level of bodily agility and physical intelligence relative to human</v>
      </c>
      <c r="C75" s="487" t="str">
        <f t="shared" si="6"/>
        <v>Human level body</v>
      </c>
      <c r="D75" s="487" t="str">
        <f t="shared" si="6"/>
        <v>Very sub-human level android</v>
      </c>
      <c r="E75" s="1" t="str">
        <f t="shared" si="6"/>
        <v>Sub-human level android</v>
      </c>
      <c r="F75" s="1" t="str">
        <f t="shared" si="6"/>
        <v>Human level android</v>
      </c>
      <c r="G75" s="1" t="str">
        <f t="shared" si="6"/>
        <v>Super human android</v>
      </c>
      <c r="H75" s="1" t="str">
        <f t="shared" si="6"/>
        <v>Super human body</v>
      </c>
      <c r="I75" s="1" t="str">
        <f t="shared" si="6"/>
        <v>Super human hybrid body</v>
      </c>
      <c r="J75" s="52" t="str">
        <f t="shared" si="6"/>
        <v>Sub-human level with regard to tools handling and speech but can be super human in other areas like running and strength of legs and bite</v>
      </c>
      <c r="K75" s="53" t="str">
        <f t="shared" si="6"/>
        <v>-</v>
      </c>
      <c r="L75">
        <f t="shared" si="5"/>
        <v>3</v>
      </c>
      <c r="M75" s="8" t="s">
        <v>32</v>
      </c>
    </row>
    <row r="76" spans="1:13" ht="15" thickBot="1" x14ac:dyDescent="0.4">
      <c r="A76">
        <f t="shared" si="3"/>
        <v>4</v>
      </c>
      <c r="B76" s="1021" t="str">
        <f t="shared" ref="B76:B98" si="7">B11</f>
        <v>First appearance of life form in Earth history and future (quoted year)</v>
      </c>
      <c r="C76" s="796" t="s">
        <v>143</v>
      </c>
      <c r="D76" s="488" t="s">
        <v>45</v>
      </c>
      <c r="E76" s="175" t="s">
        <v>2497</v>
      </c>
      <c r="F76" s="175" t="s">
        <v>2500</v>
      </c>
      <c r="G76" s="175" t="s">
        <v>2498</v>
      </c>
      <c r="H76" s="175" t="s">
        <v>1667</v>
      </c>
      <c r="I76" s="175" t="s">
        <v>1667</v>
      </c>
      <c r="J76" s="1196" t="s">
        <v>1669</v>
      </c>
      <c r="K76" s="1197" t="s">
        <v>1671</v>
      </c>
      <c r="L76">
        <f t="shared" si="5"/>
        <v>4</v>
      </c>
      <c r="M76" s="8"/>
    </row>
    <row r="77" spans="1:13" ht="21.5" thickTop="1" x14ac:dyDescent="0.5">
      <c r="A77">
        <f t="shared" si="3"/>
        <v>5</v>
      </c>
      <c r="B77" s="699" t="str">
        <f t="shared" si="7"/>
        <v>Max Tegmark's classification system for life forms</v>
      </c>
      <c r="C77" s="1076" t="s">
        <v>1516</v>
      </c>
      <c r="D77" s="1076" t="s">
        <v>1516</v>
      </c>
      <c r="E77" s="204" t="s">
        <v>1516</v>
      </c>
      <c r="F77" s="204" t="s">
        <v>1516</v>
      </c>
      <c r="G77" s="1180" t="s">
        <v>1516</v>
      </c>
      <c r="H77" s="1180"/>
      <c r="I77" s="1180"/>
      <c r="J77" s="1077" t="s">
        <v>1516</v>
      </c>
      <c r="K77" s="1078" t="s">
        <v>1516</v>
      </c>
      <c r="L77">
        <f t="shared" si="5"/>
        <v>5</v>
      </c>
      <c r="M77" s="8"/>
    </row>
    <row r="78" spans="1:13" x14ac:dyDescent="0.35">
      <c r="A78">
        <f t="shared" si="3"/>
        <v>6</v>
      </c>
      <c r="B78" s="23" t="str">
        <f t="shared" si="7"/>
        <v>Can life form survive and replicate on its own? (Max Tegmark's 1st criteria for life type)</v>
      </c>
      <c r="C78" s="804"/>
      <c r="D78" s="805"/>
      <c r="E78" s="885"/>
      <c r="F78" s="1075"/>
      <c r="G78" s="807" t="s">
        <v>45</v>
      </c>
      <c r="H78" s="807"/>
      <c r="I78" s="807"/>
      <c r="J78" s="1079"/>
      <c r="K78" s="727"/>
      <c r="L78">
        <f t="shared" si="5"/>
        <v>6</v>
      </c>
      <c r="M78" s="132"/>
    </row>
    <row r="79" spans="1:13" x14ac:dyDescent="0.35">
      <c r="A79">
        <f t="shared" si="3"/>
        <v>7</v>
      </c>
      <c r="B79" s="23" t="str">
        <f t="shared" si="7"/>
        <v>Can life form learn, that is, design its own software aka mind? (Max Tegmark's 2nd criteria for life type)</v>
      </c>
      <c r="C79" s="804"/>
      <c r="D79" s="1082"/>
      <c r="E79" s="1075" t="s">
        <v>45</v>
      </c>
      <c r="F79" s="1075"/>
      <c r="G79" s="807" t="s">
        <v>45</v>
      </c>
      <c r="H79" s="807"/>
      <c r="I79" s="807"/>
      <c r="J79" s="1079"/>
      <c r="K79" s="1080"/>
      <c r="L79">
        <f t="shared" si="5"/>
        <v>7</v>
      </c>
      <c r="M79" s="132"/>
    </row>
    <row r="80" spans="1:13" ht="15" thickBot="1" x14ac:dyDescent="0.4">
      <c r="A80">
        <f t="shared" si="3"/>
        <v>8</v>
      </c>
      <c r="B80" s="23" t="str">
        <f t="shared" si="7"/>
        <v>Can life form build its own body aka hardware? (Max Tegmark's 3rd criteria for life type)</v>
      </c>
      <c r="C80" s="1081"/>
      <c r="D80" s="720"/>
      <c r="E80" s="349"/>
      <c r="F80" s="889"/>
      <c r="G80" s="1075"/>
      <c r="H80" s="1075"/>
      <c r="I80" s="1075"/>
      <c r="J80" s="892"/>
      <c r="K80" s="886"/>
      <c r="L80">
        <f t="shared" si="5"/>
        <v>8</v>
      </c>
    </row>
    <row r="81" spans="1:13" ht="21.5" thickTop="1" x14ac:dyDescent="0.5">
      <c r="A81">
        <f t="shared" si="3"/>
        <v>9</v>
      </c>
      <c r="B81" s="702" t="str">
        <f t="shared" si="7"/>
        <v>Other key characteristics of life form</v>
      </c>
      <c r="C81" s="1065" t="str">
        <f t="shared" ref="C81:K81" si="8">C12</f>
        <v>Life 2.5</v>
      </c>
      <c r="D81" s="1065" t="str">
        <f t="shared" si="8"/>
        <v>Not life because no survival &amp; replication without human aid</v>
      </c>
      <c r="E81" s="1067" t="str">
        <f t="shared" si="8"/>
        <v xml:space="preserve">Semi-life. Not real life because no survival &amp; replication without human aid. </v>
      </c>
      <c r="F81" s="1066" t="str">
        <f t="shared" si="8"/>
        <v>Life 3.0</v>
      </c>
      <c r="G81" s="1066" t="str">
        <f t="shared" si="8"/>
        <v>Life 3.5a</v>
      </c>
      <c r="H81" s="1066" t="str">
        <f t="shared" si="8"/>
        <v>Life 3.5b</v>
      </c>
      <c r="I81" s="1068" t="str">
        <f t="shared" si="8"/>
        <v>Life 3.5c</v>
      </c>
      <c r="J81" s="1065" t="str">
        <f t="shared" si="8"/>
        <v>Life 2.0</v>
      </c>
      <c r="K81" s="1065" t="str">
        <f t="shared" si="8"/>
        <v>Life 1.0</v>
      </c>
      <c r="L81">
        <f t="shared" si="5"/>
        <v>9</v>
      </c>
    </row>
    <row r="82" spans="1:13" x14ac:dyDescent="0.35">
      <c r="A82">
        <f t="shared" si="3"/>
        <v>10</v>
      </c>
      <c r="B82" s="23" t="str">
        <f t="shared" si="7"/>
        <v>Life expectancy (in Earth years)</v>
      </c>
      <c r="C82" s="487" t="s">
        <v>1489</v>
      </c>
      <c r="D82" s="487" t="s">
        <v>45</v>
      </c>
      <c r="E82" s="1"/>
      <c r="F82" s="1"/>
      <c r="G82" s="808" t="s">
        <v>45</v>
      </c>
      <c r="H82" s="808"/>
      <c r="I82" s="808"/>
      <c r="J82" s="52" t="s">
        <v>1412</v>
      </c>
      <c r="K82" s="53" t="s">
        <v>45</v>
      </c>
      <c r="L82">
        <f t="shared" si="5"/>
        <v>10</v>
      </c>
    </row>
    <row r="83" spans="1:13" x14ac:dyDescent="0.35">
      <c r="A83">
        <f t="shared" si="3"/>
        <v>11</v>
      </c>
      <c r="B83" s="23" t="str">
        <f t="shared" si="7"/>
        <v>Time to learn new behavior and knowledge</v>
      </c>
      <c r="C83" s="493"/>
      <c r="D83" s="493" t="s">
        <v>1519</v>
      </c>
      <c r="E83" s="811" t="s">
        <v>1520</v>
      </c>
      <c r="F83" s="811" t="s">
        <v>1520</v>
      </c>
      <c r="G83" s="812" t="s">
        <v>1520</v>
      </c>
      <c r="H83" s="812" t="s">
        <v>45</v>
      </c>
      <c r="I83" s="812"/>
      <c r="J83" s="541" t="s">
        <v>45</v>
      </c>
      <c r="K83" s="428" t="s">
        <v>45</v>
      </c>
      <c r="L83">
        <f t="shared" si="5"/>
        <v>11</v>
      </c>
      <c r="M83" s="132"/>
    </row>
    <row r="84" spans="1:13" x14ac:dyDescent="0.35">
      <c r="A84">
        <f t="shared" si="3"/>
        <v>12</v>
      </c>
      <c r="B84" s="23" t="str">
        <f t="shared" si="7"/>
        <v>Senses</v>
      </c>
      <c r="C84" s="800"/>
      <c r="D84" s="800" t="s">
        <v>1614</v>
      </c>
      <c r="E84" s="588" t="s">
        <v>45</v>
      </c>
      <c r="F84" s="588"/>
      <c r="G84" s="725"/>
      <c r="H84" s="725"/>
      <c r="I84" s="725"/>
      <c r="J84" s="541"/>
      <c r="K84" s="428"/>
      <c r="L84">
        <f t="shared" si="5"/>
        <v>12</v>
      </c>
      <c r="M84" s="132"/>
    </row>
    <row r="85" spans="1:13" x14ac:dyDescent="0.35">
      <c r="A85">
        <f t="shared" si="3"/>
        <v>13</v>
      </c>
      <c r="B85" s="23" t="str">
        <f t="shared" si="7"/>
        <v>Mechanisms of life form to adapt to changes in environment</v>
      </c>
      <c r="C85" s="487"/>
      <c r="D85" s="487"/>
      <c r="E85" s="1"/>
      <c r="F85" s="1"/>
      <c r="G85" s="808"/>
      <c r="H85" s="808"/>
      <c r="I85" s="808"/>
      <c r="J85" s="52"/>
      <c r="K85" s="53"/>
      <c r="L85">
        <f t="shared" si="5"/>
        <v>13</v>
      </c>
    </row>
    <row r="86" spans="1:13" x14ac:dyDescent="0.35">
      <c r="A86">
        <f t="shared" si="3"/>
        <v>14</v>
      </c>
      <c r="B86" s="23" t="str">
        <f t="shared" si="7"/>
        <v>How life form is made</v>
      </c>
      <c r="C86" s="792"/>
      <c r="D86" s="487"/>
      <c r="E86" s="1"/>
      <c r="F86" s="1"/>
      <c r="G86" s="1"/>
      <c r="H86" s="1"/>
      <c r="I86" s="1"/>
      <c r="J86" s="911"/>
      <c r="K86" s="910"/>
      <c r="L86">
        <f t="shared" si="5"/>
        <v>14</v>
      </c>
      <c r="M86" s="8"/>
    </row>
    <row r="87" spans="1:13" x14ac:dyDescent="0.35">
      <c r="A87">
        <f t="shared" si="3"/>
        <v>15</v>
      </c>
      <c r="B87" s="23" t="str">
        <f t="shared" si="7"/>
        <v>How life form learn its identity and behavior</v>
      </c>
      <c r="C87" s="792"/>
      <c r="D87" s="487"/>
      <c r="E87" s="1"/>
      <c r="F87" s="1"/>
      <c r="G87" s="1"/>
      <c r="H87" s="1"/>
      <c r="I87" s="1"/>
      <c r="J87" s="911"/>
      <c r="K87" s="910"/>
      <c r="L87">
        <f t="shared" si="5"/>
        <v>15</v>
      </c>
      <c r="M87" s="8"/>
    </row>
    <row r="88" spans="1:13" x14ac:dyDescent="0.35">
      <c r="A88">
        <f t="shared" si="3"/>
        <v>16</v>
      </c>
      <c r="B88" s="23" t="str">
        <f t="shared" si="7"/>
        <v>Ability to control degree of all feelings at will (Wilson's 1st point about danger of mixing embedded Paleolithic emotions with godlike technology)</v>
      </c>
      <c r="C88" s="800" t="s">
        <v>291</v>
      </c>
      <c r="D88" s="789" t="s">
        <v>3031</v>
      </c>
      <c r="E88" s="1056" t="s">
        <v>3031</v>
      </c>
      <c r="F88" s="509" t="s">
        <v>3031</v>
      </c>
      <c r="G88" s="509" t="s">
        <v>3031</v>
      </c>
      <c r="H88" s="509" t="s">
        <v>3031</v>
      </c>
      <c r="I88" s="1057" t="s">
        <v>3031</v>
      </c>
      <c r="J88" s="541"/>
      <c r="K88" s="428"/>
      <c r="L88">
        <f t="shared" si="5"/>
        <v>16</v>
      </c>
      <c r="M88" s="132"/>
    </row>
    <row r="89" spans="1:13" x14ac:dyDescent="0.35">
      <c r="A89">
        <f t="shared" si="3"/>
        <v>17</v>
      </c>
      <c r="B89" s="23" t="str">
        <f t="shared" si="7"/>
        <v>Level of intelligence relative to 1 Albert Einstein (Wilson's 2nd point about danger of mixing embedded Paleolithic intelligence with godlike technology. Was not explicitly stated by Wilson but implicitly it can be inferred that human intelligence is the same as it has been for about 300,000 years and it becomes ever more impossible for any single human to understand the complexity of the modern world. Life3.5 will be able to understand everything and therefor also cannot be manipulated and lied to as easily as it is with humans. The words of a lying populist politician or religious leader will have no effect on Life 3.5 beings because they know better)</v>
      </c>
      <c r="C89" s="789" t="s">
        <v>3031</v>
      </c>
      <c r="D89" s="789" t="s">
        <v>3031</v>
      </c>
      <c r="E89" s="1056" t="s">
        <v>3031</v>
      </c>
      <c r="F89" s="509" t="s">
        <v>3031</v>
      </c>
      <c r="G89" s="509" t="s">
        <v>3031</v>
      </c>
      <c r="H89" s="509" t="s">
        <v>3031</v>
      </c>
      <c r="I89" s="1057" t="s">
        <v>3031</v>
      </c>
      <c r="J89" s="911"/>
      <c r="K89" s="910"/>
      <c r="L89">
        <f t="shared" si="5"/>
        <v>17</v>
      </c>
      <c r="M89" s="8"/>
    </row>
    <row r="90" spans="1:13" x14ac:dyDescent="0.35">
      <c r="A90">
        <f t="shared" si="3"/>
        <v>18</v>
      </c>
      <c r="B90" s="23" t="str">
        <f t="shared" si="7"/>
        <v>Ability of one life form to grasp knowledge in % of all knowledge by humanity as of 2025 (Wilson's 2nd point about danger of mixing embedded Paleolithic intelligence with godlike technology. Was not explicitly stated by Wilson but implicitly it can be inferred that human intelligence is the same as it has been for about 300,000 years and it becomes ever more impossible for any single human to understand the complexity of the modern world. Life3.5 will be able to understand everything and therefor also cannot be manipulated and lied to as easily as it is with humans. The words of a lying populist politician or religious leader will have no effect on Life 3.5 beings because they know better)</v>
      </c>
      <c r="C90" s="789" t="s">
        <v>3031</v>
      </c>
      <c r="D90" s="789" t="s">
        <v>3031</v>
      </c>
      <c r="E90" s="1056" t="s">
        <v>3031</v>
      </c>
      <c r="F90" s="509" t="s">
        <v>3031</v>
      </c>
      <c r="G90" s="509" t="s">
        <v>3031</v>
      </c>
      <c r="H90" s="509" t="s">
        <v>3031</v>
      </c>
      <c r="I90" s="1057" t="s">
        <v>3031</v>
      </c>
      <c r="J90" s="911"/>
      <c r="K90" s="910"/>
      <c r="L90">
        <f t="shared" si="5"/>
        <v>18</v>
      </c>
      <c r="M90" s="8"/>
    </row>
    <row r="91" spans="1:13" x14ac:dyDescent="0.35">
      <c r="A91">
        <f t="shared" si="3"/>
        <v>19</v>
      </c>
      <c r="B91" s="1178" t="str">
        <f t="shared" si="7"/>
        <v>Where is life form's memories and intelligence embodied? (a key criteria for legal rights qualification)</v>
      </c>
      <c r="C91" s="487" t="str">
        <f t="shared" ref="C91:K91" si="9">C26</f>
        <v>At brain in body</v>
      </c>
      <c r="D91" s="487" t="str">
        <f t="shared" si="9"/>
        <v>Mostly at datacenter</v>
      </c>
      <c r="E91" s="1" t="str">
        <f t="shared" si="9"/>
        <v>Mostly at datacenter. By 2029 the AGI computation (likely 14,000 TFLOPS) and memory chips (likely between 4 to 40TB HBM RAM) are not possible to fit inside a human sized android body with sufficiently low power consumption at likely 100 watt. For comparizon using technology existing today 2025 a 4TB AGI system require about 2,700 watt and a 40TB AGI system require 20,700 watt.</v>
      </c>
      <c r="F91" s="1" t="str">
        <f t="shared" si="9"/>
        <v>Mostly at datacenter. By 2035 the AGI computation (likely 14,000 TFLOPS) and memory chips (likely between 4 to 40TB HBM RAM) are not possible to fit inside a human sized android body with sufficiently low power consumption at likely 100 watt. For comparizon using technology existing today 2025 a 4TB AGI system require about 2,700 watt and a 40TB AGI system require 20,700 watt.</v>
      </c>
      <c r="G91" s="1" t="str">
        <f t="shared" si="9"/>
        <v>In android body. By 2045 the AGI computation (likely 14,000 TFLOPS) and memory chips (likely between 4 to 40TB HBM RAM) may be possible to fit inside a super human android body with sufficiently low power consumption at likely 100 watt. For comparizon using technology existing today 2025 a 4TB AGI system require about 2,700 watt and a 40TB AGI system require 20,700 watt.</v>
      </c>
      <c r="H91" s="1" t="str">
        <f t="shared" si="9"/>
        <v>At brain in body</v>
      </c>
      <c r="I91" s="1" t="str">
        <f t="shared" si="9"/>
        <v>Inside hybrid body</v>
      </c>
      <c r="J91" s="52" t="str">
        <f t="shared" si="9"/>
        <v>At brain in body</v>
      </c>
      <c r="K91" s="53" t="str">
        <f t="shared" si="9"/>
        <v>No brain</v>
      </c>
      <c r="L91">
        <f t="shared" si="5"/>
        <v>19</v>
      </c>
      <c r="M91" s="8"/>
    </row>
    <row r="92" spans="1:13" x14ac:dyDescent="0.35">
      <c r="A92">
        <f t="shared" si="3"/>
        <v>20</v>
      </c>
      <c r="B92" s="23" t="str">
        <f t="shared" si="7"/>
        <v>Level of consciousness = ability of a body to perceive &amp; remember itself and world and reason about it*</v>
      </c>
      <c r="C92" s="789" t="s">
        <v>3031</v>
      </c>
      <c r="D92" s="789" t="s">
        <v>3031</v>
      </c>
      <c r="E92" s="1056" t="s">
        <v>3031</v>
      </c>
      <c r="F92" s="509" t="s">
        <v>3031</v>
      </c>
      <c r="G92" s="509" t="s">
        <v>3031</v>
      </c>
      <c r="H92" s="509" t="s">
        <v>3031</v>
      </c>
      <c r="I92" s="509" t="s">
        <v>3031</v>
      </c>
      <c r="J92" s="911"/>
      <c r="K92" s="910"/>
      <c r="L92">
        <f t="shared" si="5"/>
        <v>20</v>
      </c>
      <c r="M92" s="8"/>
    </row>
    <row r="93" spans="1:13" ht="15" thickBot="1" x14ac:dyDescent="0.4">
      <c r="A93">
        <f t="shared" si="3"/>
        <v>21</v>
      </c>
      <c r="B93" s="23" t="str">
        <f t="shared" si="7"/>
        <v>HM current opinion: Should body of life form have full legal rights? (voting rights, ownership rights, right to decide own fate like job and life partner etc.)</v>
      </c>
      <c r="C93" s="789" t="s">
        <v>3032</v>
      </c>
      <c r="D93" s="789" t="s">
        <v>3032</v>
      </c>
      <c r="E93" s="1056" t="s">
        <v>3032</v>
      </c>
      <c r="F93" s="509" t="s">
        <v>3032</v>
      </c>
      <c r="G93" s="509" t="s">
        <v>3032</v>
      </c>
      <c r="H93" s="509" t="s">
        <v>3032</v>
      </c>
      <c r="I93" s="1057" t="s">
        <v>3032</v>
      </c>
      <c r="J93" s="911"/>
      <c r="K93" s="910"/>
      <c r="L93">
        <f t="shared" si="5"/>
        <v>21</v>
      </c>
      <c r="M93" s="8"/>
    </row>
    <row r="94" spans="1:13" ht="21.5" thickTop="1" x14ac:dyDescent="0.5">
      <c r="A94">
        <f t="shared" si="3"/>
        <v>22</v>
      </c>
      <c r="B94" s="702" t="str">
        <f t="shared" si="7"/>
        <v>Emotional intelligence or state of mind</v>
      </c>
      <c r="C94" s="915"/>
      <c r="D94" s="915"/>
      <c r="E94" s="916"/>
      <c r="F94" s="916"/>
      <c r="G94" s="918"/>
      <c r="H94" s="918"/>
      <c r="I94" s="918"/>
      <c r="J94" s="919"/>
      <c r="K94" s="499"/>
      <c r="L94">
        <f t="shared" si="5"/>
        <v>22</v>
      </c>
      <c r="M94" s="132"/>
    </row>
    <row r="95" spans="1:13" x14ac:dyDescent="0.35">
      <c r="A95">
        <f t="shared" si="3"/>
        <v>23</v>
      </c>
      <c r="B95" s="23" t="str">
        <f t="shared" si="7"/>
        <v>Ability to feel love for other beings</v>
      </c>
      <c r="C95" s="493" t="s">
        <v>291</v>
      </c>
      <c r="D95" s="493"/>
      <c r="E95" s="808"/>
      <c r="F95" s="808"/>
      <c r="G95" s="725" t="s">
        <v>45</v>
      </c>
      <c r="H95" s="725"/>
      <c r="I95" s="725"/>
      <c r="J95" s="541"/>
      <c r="K95" s="428"/>
      <c r="L95">
        <f t="shared" si="5"/>
        <v>23</v>
      </c>
      <c r="M95" s="132"/>
    </row>
    <row r="96" spans="1:13" x14ac:dyDescent="0.35">
      <c r="A96">
        <f t="shared" si="3"/>
        <v>24</v>
      </c>
      <c r="B96" s="23" t="str">
        <f t="shared" si="7"/>
        <v>Ability to feel hate for other beings</v>
      </c>
      <c r="C96" s="493" t="s">
        <v>291</v>
      </c>
      <c r="D96" s="493"/>
      <c r="E96" s="808"/>
      <c r="F96" s="808"/>
      <c r="G96" s="725" t="s">
        <v>45</v>
      </c>
      <c r="H96" s="725"/>
      <c r="I96" s="725"/>
      <c r="J96" s="541"/>
      <c r="K96" s="428"/>
      <c r="L96">
        <f t="shared" si="5"/>
        <v>24</v>
      </c>
      <c r="M96" s="132"/>
    </row>
    <row r="97" spans="1:13" x14ac:dyDescent="0.35">
      <c r="A97">
        <f t="shared" si="3"/>
        <v>25</v>
      </c>
      <c r="B97" s="23" t="str">
        <f t="shared" si="7"/>
        <v>Ability to feel empathy for other beings</v>
      </c>
      <c r="C97" s="493" t="s">
        <v>291</v>
      </c>
      <c r="D97" s="493"/>
      <c r="E97" s="808"/>
      <c r="F97" s="808"/>
      <c r="G97" s="725" t="s">
        <v>45</v>
      </c>
      <c r="H97" s="725"/>
      <c r="I97" s="725"/>
      <c r="J97" s="541"/>
      <c r="K97" s="428"/>
      <c r="L97">
        <f t="shared" si="5"/>
        <v>25</v>
      </c>
      <c r="M97" s="132"/>
    </row>
    <row r="98" spans="1:13" x14ac:dyDescent="0.35">
      <c r="A98">
        <f t="shared" si="3"/>
        <v>26</v>
      </c>
      <c r="B98" s="23" t="str">
        <f t="shared" si="7"/>
        <v>Ability to feel anger</v>
      </c>
      <c r="C98" s="493" t="s">
        <v>291</v>
      </c>
      <c r="D98" s="493"/>
      <c r="E98" s="808"/>
      <c r="F98" s="808"/>
      <c r="G98" s="725" t="s">
        <v>45</v>
      </c>
      <c r="H98" s="725"/>
      <c r="I98" s="725"/>
      <c r="J98" s="541"/>
      <c r="K98" s="428"/>
      <c r="L98">
        <f t="shared" si="5"/>
        <v>26</v>
      </c>
      <c r="M98" s="132"/>
    </row>
    <row r="99" spans="1:13" x14ac:dyDescent="0.35">
      <c r="A99">
        <f t="shared" si="3"/>
        <v>27</v>
      </c>
      <c r="B99" s="23" t="str">
        <f t="shared" ref="B99:B102" si="10">B34</f>
        <v>Ability to feel fear</v>
      </c>
      <c r="C99" s="493" t="s">
        <v>291</v>
      </c>
      <c r="D99" s="493"/>
      <c r="E99" s="808"/>
      <c r="F99" s="808"/>
      <c r="G99" s="725" t="s">
        <v>45</v>
      </c>
      <c r="H99" s="725"/>
      <c r="I99" s="725"/>
      <c r="J99" s="541"/>
      <c r="K99" s="428"/>
      <c r="L99">
        <f t="shared" si="5"/>
        <v>27</v>
      </c>
      <c r="M99" s="132"/>
    </row>
    <row r="100" spans="1:13" x14ac:dyDescent="0.35">
      <c r="A100">
        <f t="shared" si="3"/>
        <v>28</v>
      </c>
      <c r="B100" s="23" t="str">
        <f t="shared" si="10"/>
        <v>Ability to feel satisfaction from taking revenge</v>
      </c>
      <c r="C100" s="493" t="s">
        <v>291</v>
      </c>
      <c r="D100" s="493"/>
      <c r="E100" s="808"/>
      <c r="F100" s="808"/>
      <c r="G100" s="725" t="s">
        <v>45</v>
      </c>
      <c r="H100" s="725"/>
      <c r="I100" s="725"/>
      <c r="J100" s="541"/>
      <c r="K100" s="428"/>
      <c r="L100">
        <f t="shared" si="5"/>
        <v>28</v>
      </c>
      <c r="M100" s="132"/>
    </row>
    <row r="101" spans="1:13" x14ac:dyDescent="0.35">
      <c r="A101">
        <f t="shared" si="3"/>
        <v>29</v>
      </c>
      <c r="B101" s="23" t="str">
        <f t="shared" si="10"/>
        <v>Ability to feel honorable for being loyal to others</v>
      </c>
      <c r="C101" s="493" t="s">
        <v>291</v>
      </c>
      <c r="D101" s="493"/>
      <c r="E101" s="808"/>
      <c r="F101" s="808"/>
      <c r="G101" s="725" t="s">
        <v>45</v>
      </c>
      <c r="H101" s="725"/>
      <c r="I101" s="725"/>
      <c r="J101" s="541"/>
      <c r="K101" s="428"/>
      <c r="L101">
        <f t="shared" si="5"/>
        <v>29</v>
      </c>
      <c r="M101" s="132"/>
    </row>
    <row r="102" spans="1:13" x14ac:dyDescent="0.35">
      <c r="A102">
        <f t="shared" si="3"/>
        <v>30</v>
      </c>
      <c r="B102" s="23" t="str">
        <f t="shared" si="10"/>
        <v>Ability to feel honorable for adhering to codes of culturally determined behavior</v>
      </c>
      <c r="C102" s="493" t="s">
        <v>291</v>
      </c>
      <c r="D102" s="493"/>
      <c r="E102" s="808"/>
      <c r="F102" s="808"/>
      <c r="G102" s="725" t="s">
        <v>45</v>
      </c>
      <c r="H102" s="725"/>
      <c r="I102" s="725"/>
      <c r="J102" s="541"/>
      <c r="K102" s="428"/>
      <c r="L102">
        <f t="shared" si="5"/>
        <v>30</v>
      </c>
      <c r="M102" s="132"/>
    </row>
    <row r="103" spans="1:13" x14ac:dyDescent="0.35">
      <c r="A103">
        <f t="shared" si="3"/>
        <v>31</v>
      </c>
      <c r="B103" s="23" t="str">
        <f t="shared" ref="B103:B111" si="11">B38</f>
        <v>Ability to feel jealousy</v>
      </c>
      <c r="C103" s="493" t="s">
        <v>291</v>
      </c>
      <c r="D103" s="493"/>
      <c r="E103" s="808"/>
      <c r="F103" s="808"/>
      <c r="G103" s="725" t="s">
        <v>45</v>
      </c>
      <c r="H103" s="725"/>
      <c r="I103" s="725"/>
      <c r="J103" s="541"/>
      <c r="K103" s="428"/>
      <c r="L103">
        <f t="shared" si="5"/>
        <v>31</v>
      </c>
      <c r="M103" s="132"/>
    </row>
    <row r="104" spans="1:13" x14ac:dyDescent="0.35">
      <c r="A104">
        <f t="shared" si="3"/>
        <v>32</v>
      </c>
      <c r="B104" s="23" t="str">
        <f t="shared" si="11"/>
        <v>Ability to feel envy</v>
      </c>
      <c r="C104" s="493" t="s">
        <v>291</v>
      </c>
      <c r="D104" s="493"/>
      <c r="E104" s="808"/>
      <c r="F104" s="808"/>
      <c r="G104" s="725" t="s">
        <v>45</v>
      </c>
      <c r="H104" s="725"/>
      <c r="I104" s="725"/>
      <c r="J104" s="541"/>
      <c r="K104" s="428"/>
      <c r="L104">
        <f t="shared" si="5"/>
        <v>32</v>
      </c>
      <c r="M104" s="132"/>
    </row>
    <row r="105" spans="1:13" x14ac:dyDescent="0.35">
      <c r="A105">
        <f t="shared" si="3"/>
        <v>33</v>
      </c>
      <c r="B105" s="23" t="str">
        <f t="shared" si="11"/>
        <v>Ability to feel greed</v>
      </c>
      <c r="C105" s="493" t="s">
        <v>291</v>
      </c>
      <c r="D105" s="493"/>
      <c r="E105" s="808"/>
      <c r="F105" s="808"/>
      <c r="G105" s="725" t="s">
        <v>45</v>
      </c>
      <c r="H105" s="725"/>
      <c r="I105" s="725"/>
      <c r="J105" s="541"/>
      <c r="K105" s="428"/>
      <c r="L105">
        <f t="shared" si="5"/>
        <v>33</v>
      </c>
      <c r="M105" s="132"/>
    </row>
    <row r="106" spans="1:13" x14ac:dyDescent="0.35">
      <c r="A106">
        <f t="shared" si="3"/>
        <v>34</v>
      </c>
      <c r="B106" s="23" t="str">
        <f t="shared" si="11"/>
        <v>Ability to feel grief</v>
      </c>
      <c r="C106" s="493" t="s">
        <v>291</v>
      </c>
      <c r="D106" s="493"/>
      <c r="E106" s="808"/>
      <c r="F106" s="808"/>
      <c r="G106" s="725" t="s">
        <v>45</v>
      </c>
      <c r="H106" s="725"/>
      <c r="I106" s="725"/>
      <c r="J106" s="541"/>
      <c r="K106" s="428"/>
      <c r="L106">
        <f t="shared" si="5"/>
        <v>34</v>
      </c>
      <c r="M106" s="132"/>
    </row>
    <row r="107" spans="1:13" x14ac:dyDescent="0.35">
      <c r="A107">
        <f t="shared" si="3"/>
        <v>35</v>
      </c>
      <c r="B107" s="23" t="str">
        <f t="shared" si="11"/>
        <v>Ability to feel happy</v>
      </c>
      <c r="C107" s="493" t="s">
        <v>291</v>
      </c>
      <c r="D107" s="493"/>
      <c r="E107" s="808"/>
      <c r="F107" s="808"/>
      <c r="G107" s="725" t="s">
        <v>45</v>
      </c>
      <c r="H107" s="725"/>
      <c r="I107" s="725"/>
      <c r="J107" s="541"/>
      <c r="K107" s="428"/>
      <c r="L107">
        <f t="shared" si="5"/>
        <v>35</v>
      </c>
      <c r="M107" s="132"/>
    </row>
    <row r="108" spans="1:13" x14ac:dyDescent="0.35">
      <c r="A108">
        <f t="shared" si="3"/>
        <v>36</v>
      </c>
      <c r="B108" s="23" t="str">
        <f t="shared" si="11"/>
        <v>Ability to feel joy</v>
      </c>
      <c r="C108" s="493" t="s">
        <v>291</v>
      </c>
      <c r="D108" s="493"/>
      <c r="E108" s="808"/>
      <c r="F108" s="808"/>
      <c r="G108" s="725" t="s">
        <v>45</v>
      </c>
      <c r="H108" s="725"/>
      <c r="I108" s="725"/>
      <c r="J108" s="541"/>
      <c r="K108" s="428"/>
      <c r="L108">
        <f t="shared" si="5"/>
        <v>36</v>
      </c>
      <c r="M108" s="132"/>
    </row>
    <row r="109" spans="1:13" x14ac:dyDescent="0.35">
      <c r="A109">
        <f t="shared" si="3"/>
        <v>37</v>
      </c>
      <c r="B109" s="23" t="str">
        <f t="shared" si="11"/>
        <v>Ability to feel depressed</v>
      </c>
      <c r="C109" s="493" t="s">
        <v>291</v>
      </c>
      <c r="D109" s="493"/>
      <c r="E109" s="808"/>
      <c r="F109" s="808"/>
      <c r="G109" s="725" t="s">
        <v>45</v>
      </c>
      <c r="H109" s="725"/>
      <c r="I109" s="725"/>
      <c r="J109" s="541"/>
      <c r="K109" s="428"/>
      <c r="L109">
        <f t="shared" si="5"/>
        <v>37</v>
      </c>
      <c r="M109" s="132"/>
    </row>
    <row r="110" spans="1:13" x14ac:dyDescent="0.35">
      <c r="A110">
        <f t="shared" si="3"/>
        <v>38</v>
      </c>
      <c r="B110" s="23" t="str">
        <f t="shared" si="11"/>
        <v>Ability to feel sexual satisfaction</v>
      </c>
      <c r="C110" s="493" t="s">
        <v>291</v>
      </c>
      <c r="D110" s="493"/>
      <c r="E110" s="808"/>
      <c r="F110" s="808"/>
      <c r="G110" s="725" t="s">
        <v>45</v>
      </c>
      <c r="H110" s="725"/>
      <c r="I110" s="725"/>
      <c r="J110" s="541"/>
      <c r="K110" s="428"/>
      <c r="L110">
        <f t="shared" si="5"/>
        <v>38</v>
      </c>
      <c r="M110" s="132"/>
    </row>
    <row r="111" spans="1:13" x14ac:dyDescent="0.35">
      <c r="A111">
        <f t="shared" si="3"/>
        <v>39</v>
      </c>
      <c r="B111" s="23" t="str">
        <f t="shared" si="11"/>
        <v>Ability to feel gender</v>
      </c>
      <c r="C111" s="493" t="s">
        <v>291</v>
      </c>
      <c r="D111" s="493"/>
      <c r="E111" s="808"/>
      <c r="F111" s="808"/>
      <c r="G111" s="725" t="s">
        <v>45</v>
      </c>
      <c r="H111" s="725"/>
      <c r="I111" s="725"/>
      <c r="J111" s="541"/>
      <c r="K111" s="428"/>
      <c r="L111">
        <f t="shared" si="5"/>
        <v>39</v>
      </c>
      <c r="M111" s="132"/>
    </row>
    <row r="112" spans="1:13" ht="15" thickBot="1" x14ac:dyDescent="0.4">
      <c r="A112">
        <f t="shared" si="3"/>
        <v>40</v>
      </c>
      <c r="B112" s="27"/>
      <c r="C112" s="799"/>
      <c r="D112" s="799"/>
      <c r="E112" s="810"/>
      <c r="F112" s="810"/>
      <c r="G112" s="736"/>
      <c r="H112" s="736"/>
      <c r="I112" s="736"/>
      <c r="J112" s="542"/>
      <c r="K112" s="544"/>
      <c r="L112">
        <f t="shared" si="5"/>
        <v>40</v>
      </c>
      <c r="M112" s="132"/>
    </row>
    <row r="113" spans="1:13" ht="21.5" thickTop="1" x14ac:dyDescent="0.5">
      <c r="A113">
        <f t="shared" si="3"/>
        <v>41</v>
      </c>
      <c r="B113" s="702" t="str">
        <f t="shared" ref="B113:B118" si="12">B48</f>
        <v>Types of physical and cognitive intelligence</v>
      </c>
      <c r="C113" s="490"/>
      <c r="D113" s="490"/>
      <c r="E113" s="456"/>
      <c r="F113" s="456"/>
      <c r="G113" s="456"/>
      <c r="H113" s="456"/>
      <c r="I113" s="456"/>
      <c r="J113" s="455"/>
      <c r="K113" s="469"/>
      <c r="L113">
        <f t="shared" si="5"/>
        <v>41</v>
      </c>
      <c r="M113" s="8"/>
    </row>
    <row r="114" spans="1:13" x14ac:dyDescent="0.35">
      <c r="A114">
        <f t="shared" si="3"/>
        <v>42</v>
      </c>
      <c r="B114" s="23" t="str">
        <f t="shared" si="12"/>
        <v>Ability of hands to effectively make and handle advanced tools relative to human level hands</v>
      </c>
      <c r="C114" s="493" t="s">
        <v>291</v>
      </c>
      <c r="D114" s="920" t="s">
        <v>1496</v>
      </c>
      <c r="E114" s="808" t="s">
        <v>45</v>
      </c>
      <c r="F114" s="808"/>
      <c r="G114" s="725" t="s">
        <v>45</v>
      </c>
      <c r="H114" s="725"/>
      <c r="I114" s="725"/>
      <c r="J114" s="541" t="s">
        <v>1493</v>
      </c>
      <c r="K114" s="428"/>
      <c r="L114">
        <f t="shared" si="5"/>
        <v>42</v>
      </c>
      <c r="M114" s="132"/>
    </row>
    <row r="115" spans="1:13" x14ac:dyDescent="0.35">
      <c r="A115">
        <f t="shared" si="3"/>
        <v>43</v>
      </c>
      <c r="B115" s="23" t="str">
        <f t="shared" si="12"/>
        <v>Ability of legs to move body around in all terrains relative to human</v>
      </c>
      <c r="C115" s="493" t="s">
        <v>291</v>
      </c>
      <c r="D115" s="920" t="s">
        <v>1495</v>
      </c>
      <c r="E115" s="808" t="s">
        <v>45</v>
      </c>
      <c r="F115" s="808"/>
      <c r="G115" s="725" t="s">
        <v>45</v>
      </c>
      <c r="H115" s="725"/>
      <c r="I115" s="725"/>
      <c r="J115" s="541" t="s">
        <v>1493</v>
      </c>
      <c r="K115" s="428"/>
      <c r="L115">
        <f t="shared" si="5"/>
        <v>43</v>
      </c>
      <c r="M115" s="132"/>
    </row>
    <row r="116" spans="1:13" ht="14" customHeight="1" x14ac:dyDescent="0.35">
      <c r="A116">
        <f t="shared" si="3"/>
        <v>44</v>
      </c>
      <c r="B116" s="23" t="str">
        <f t="shared" si="12"/>
        <v>Ability to communicate with facial expressions relative to human</v>
      </c>
      <c r="C116" s="493" t="s">
        <v>291</v>
      </c>
      <c r="D116" s="1083" t="s">
        <v>3087</v>
      </c>
      <c r="E116" s="808" t="s">
        <v>45</v>
      </c>
      <c r="F116" s="808"/>
      <c r="G116" s="725" t="s">
        <v>45</v>
      </c>
      <c r="H116" s="725"/>
      <c r="I116" s="725"/>
      <c r="J116" s="541" t="s">
        <v>1493</v>
      </c>
      <c r="K116" s="428"/>
      <c r="L116">
        <f t="shared" si="5"/>
        <v>44</v>
      </c>
      <c r="M116" s="132"/>
    </row>
    <row r="117" spans="1:13" x14ac:dyDescent="0.35">
      <c r="A117">
        <f t="shared" si="3"/>
        <v>45</v>
      </c>
      <c r="B117" s="23" t="str">
        <f t="shared" si="12"/>
        <v>Ability to remember experiences (sensory inputs) and thoughts from start of life to current time (essential for being a consious being)</v>
      </c>
      <c r="C117" s="493" t="s">
        <v>291</v>
      </c>
      <c r="D117" s="493"/>
      <c r="E117" s="808" t="s">
        <v>45</v>
      </c>
      <c r="F117" s="808"/>
      <c r="G117" s="725" t="s">
        <v>45</v>
      </c>
      <c r="H117" s="725"/>
      <c r="I117" s="725"/>
      <c r="J117" s="541" t="s">
        <v>1493</v>
      </c>
      <c r="K117" s="428"/>
      <c r="L117">
        <f t="shared" si="5"/>
        <v>45</v>
      </c>
      <c r="M117" s="132"/>
    </row>
    <row r="118" spans="1:13" x14ac:dyDescent="0.35">
      <c r="A118">
        <f t="shared" si="3"/>
        <v>46</v>
      </c>
      <c r="B118" s="23" t="str">
        <f t="shared" si="12"/>
        <v>Ability to recognize objects in the world</v>
      </c>
      <c r="C118" s="493"/>
      <c r="D118" s="493"/>
      <c r="E118" s="808"/>
      <c r="F118" s="808"/>
      <c r="G118" s="725"/>
      <c r="H118" s="725"/>
      <c r="I118" s="725"/>
      <c r="J118" s="541"/>
      <c r="K118" s="428"/>
      <c r="L118">
        <f t="shared" si="5"/>
        <v>46</v>
      </c>
      <c r="M118" s="132"/>
    </row>
    <row r="119" spans="1:13" x14ac:dyDescent="0.35">
      <c r="A119">
        <f t="shared" si="3"/>
        <v>47</v>
      </c>
      <c r="B119" s="23" t="str">
        <f>B55</f>
        <v>Ability to navigate the world by remembering maps of the world</v>
      </c>
      <c r="C119" s="493" t="s">
        <v>291</v>
      </c>
      <c r="D119" s="920" t="s">
        <v>3086</v>
      </c>
      <c r="E119" s="808" t="s">
        <v>45</v>
      </c>
      <c r="F119" s="808"/>
      <c r="G119" s="725" t="s">
        <v>45</v>
      </c>
      <c r="H119" s="725"/>
      <c r="I119" s="725"/>
      <c r="J119" s="541" t="s">
        <v>1493</v>
      </c>
      <c r="K119" s="428"/>
      <c r="L119">
        <f t="shared" si="5"/>
        <v>47</v>
      </c>
      <c r="M119" s="132"/>
    </row>
    <row r="120" spans="1:13" x14ac:dyDescent="0.35">
      <c r="A120">
        <f t="shared" si="3"/>
        <v>48</v>
      </c>
      <c r="B120" s="23" t="str">
        <f>B54</f>
        <v>Ability to see the world in high definition at different distances</v>
      </c>
      <c r="C120" s="493" t="s">
        <v>291</v>
      </c>
      <c r="D120" s="493"/>
      <c r="E120" s="808"/>
      <c r="F120" s="808"/>
      <c r="G120" s="725" t="s">
        <v>45</v>
      </c>
      <c r="H120" s="725"/>
      <c r="I120" s="725"/>
      <c r="J120" s="541" t="s">
        <v>1498</v>
      </c>
      <c r="K120" s="428" t="s">
        <v>45</v>
      </c>
      <c r="L120">
        <f t="shared" si="5"/>
        <v>48</v>
      </c>
      <c r="M120" s="132"/>
    </row>
    <row r="121" spans="1:13" x14ac:dyDescent="0.35">
      <c r="A121">
        <f t="shared" si="3"/>
        <v>49</v>
      </c>
      <c r="B121" s="23" t="str">
        <f>B56</f>
        <v>Ability to communicate with sophisticated voice</v>
      </c>
      <c r="C121" s="493" t="s">
        <v>291</v>
      </c>
      <c r="D121" s="786" t="s">
        <v>3088</v>
      </c>
      <c r="E121" s="808" t="s">
        <v>45</v>
      </c>
      <c r="F121" s="808"/>
      <c r="G121" s="725" t="s">
        <v>45</v>
      </c>
      <c r="H121" s="725"/>
      <c r="I121" s="725"/>
      <c r="J121" s="541" t="s">
        <v>1493</v>
      </c>
      <c r="K121" s="428"/>
      <c r="L121">
        <f t="shared" si="5"/>
        <v>49</v>
      </c>
      <c r="M121" s="132"/>
    </row>
    <row r="122" spans="1:13" x14ac:dyDescent="0.35">
      <c r="A122">
        <f t="shared" si="3"/>
        <v>50</v>
      </c>
      <c r="B122" s="23" t="str">
        <f>B57</f>
        <v>Ability to solve very difficult code and math problems</v>
      </c>
      <c r="C122" s="493" t="s">
        <v>291</v>
      </c>
      <c r="D122" s="493"/>
      <c r="E122" s="808"/>
      <c r="F122" s="808"/>
      <c r="G122" s="725" t="s">
        <v>45</v>
      </c>
      <c r="H122" s="725"/>
      <c r="I122" s="725"/>
      <c r="J122" s="541"/>
      <c r="K122" s="428"/>
      <c r="L122">
        <f t="shared" si="5"/>
        <v>50</v>
      </c>
      <c r="M122" s="132"/>
    </row>
    <row r="123" spans="1:13" x14ac:dyDescent="0.35">
      <c r="A123">
        <f t="shared" si="3"/>
        <v>51</v>
      </c>
      <c r="B123" s="23" t="str">
        <f>B58</f>
        <v>Ability to writhe good essays</v>
      </c>
      <c r="C123" s="493" t="s">
        <v>291</v>
      </c>
      <c r="D123" s="493"/>
      <c r="E123" s="808"/>
      <c r="F123" s="808"/>
      <c r="G123" s="725" t="s">
        <v>45</v>
      </c>
      <c r="H123" s="725"/>
      <c r="I123" s="725"/>
      <c r="J123" s="541"/>
      <c r="K123" s="428"/>
      <c r="L123">
        <f t="shared" si="5"/>
        <v>51</v>
      </c>
      <c r="M123" s="132"/>
    </row>
    <row r="124" spans="1:13" x14ac:dyDescent="0.35">
      <c r="A124">
        <f t="shared" si="3"/>
        <v>52</v>
      </c>
      <c r="B124" s="23" t="str">
        <f>B59</f>
        <v>Ability to writhe good books</v>
      </c>
      <c r="C124" s="493" t="s">
        <v>291</v>
      </c>
      <c r="D124" s="493"/>
      <c r="E124" s="808"/>
      <c r="F124" s="808"/>
      <c r="G124" s="725" t="s">
        <v>45</v>
      </c>
      <c r="H124" s="725"/>
      <c r="I124" s="725"/>
      <c r="J124" s="541"/>
      <c r="K124" s="428"/>
      <c r="L124">
        <f t="shared" si="5"/>
        <v>52</v>
      </c>
      <c r="M124" s="132"/>
    </row>
    <row r="125" spans="1:13" x14ac:dyDescent="0.35">
      <c r="A125">
        <f t="shared" si="3"/>
        <v>53</v>
      </c>
      <c r="B125" s="23" t="str">
        <f>B60</f>
        <v>Ability to research and writhe papers for journals</v>
      </c>
      <c r="C125" s="493" t="s">
        <v>291</v>
      </c>
      <c r="D125" s="493"/>
      <c r="E125" s="808"/>
      <c r="F125" s="808"/>
      <c r="G125" s="725" t="s">
        <v>45</v>
      </c>
      <c r="H125" s="725"/>
      <c r="I125" s="725"/>
      <c r="J125" s="541"/>
      <c r="K125" s="428"/>
      <c r="L125">
        <f t="shared" si="5"/>
        <v>53</v>
      </c>
      <c r="M125" s="132"/>
    </row>
    <row r="126" spans="1:13" ht="15" thickBot="1" x14ac:dyDescent="0.4">
      <c r="A126">
        <f t="shared" si="3"/>
        <v>54</v>
      </c>
      <c r="B126" s="27"/>
      <c r="C126" s="799"/>
      <c r="D126" s="799"/>
      <c r="E126" s="810"/>
      <c r="F126" s="810"/>
      <c r="G126" s="736"/>
      <c r="H126" s="736"/>
      <c r="I126" s="736"/>
      <c r="J126" s="542"/>
      <c r="K126" s="544"/>
      <c r="L126">
        <f t="shared" si="5"/>
        <v>54</v>
      </c>
      <c r="M126" s="132"/>
    </row>
    <row r="127" spans="1:13" ht="15" thickTop="1" x14ac:dyDescent="0.35"/>
    <row r="135" spans="3:3" x14ac:dyDescent="0.35">
      <c r="C135" s="185"/>
    </row>
    <row r="136" spans="3:3" x14ac:dyDescent="0.35">
      <c r="C136" s="185"/>
    </row>
    <row r="137" spans="3:3" x14ac:dyDescent="0.35">
      <c r="C137" s="185"/>
    </row>
    <row r="138" spans="3:3" x14ac:dyDescent="0.35">
      <c r="C138" s="185"/>
    </row>
    <row r="139" spans="3:3" x14ac:dyDescent="0.35">
      <c r="C139" s="185"/>
    </row>
    <row r="164" spans="3:13" x14ac:dyDescent="0.35">
      <c r="C164" s="199"/>
      <c r="D164" s="199"/>
      <c r="E164" s="199"/>
      <c r="F164" s="199"/>
      <c r="G164" s="199"/>
      <c r="H164" s="199"/>
      <c r="I164" s="199"/>
      <c r="J164" s="8"/>
      <c r="K164" s="8"/>
      <c r="L164" s="8"/>
      <c r="M164" s="8"/>
    </row>
  </sheetData>
  <phoneticPr fontId="4" type="noConversion"/>
  <hyperlinks>
    <hyperlink ref="K77" r:id="rId1" xr:uid="{A716122F-F1CB-41E9-9502-FEEDF27C057D}"/>
    <hyperlink ref="J77" r:id="rId2" xr:uid="{77DF0D8A-AAA6-4887-9366-FCF49F9930FA}"/>
    <hyperlink ref="C76" r:id="rId3" xr:uid="{92C0C9F0-3F1C-4D60-9275-DB828045F0E7}"/>
    <hyperlink ref="J76" r:id="rId4" location="Origins" xr:uid="{4A1854B3-A14D-41FD-A755-AF597A881EAF}"/>
    <hyperlink ref="K76" r:id="rId5" xr:uid="{F0D21E21-DC24-4C62-91C6-E878E68B2A68}"/>
    <hyperlink ref="G83" r:id="rId6" xr:uid="{423CA938-ACB0-452E-B053-EC9EB7A6C775}"/>
    <hyperlink ref="G77" r:id="rId7" xr:uid="{9F84D985-BE9C-4B6C-AB03-84AB58389EFC}"/>
    <hyperlink ref="E83" r:id="rId8" xr:uid="{DAA91CBC-941C-4DE9-8BA2-DFC8667AE509}"/>
    <hyperlink ref="F83" r:id="rId9" xr:uid="{9D9FCDE5-5A7E-48AD-9B96-ECC95DD2E83F}"/>
    <hyperlink ref="D114" r:id="rId10" xr:uid="{21B24CAA-EFFF-482D-8BDD-8A9D0B2D2FA4}"/>
    <hyperlink ref="B71" r:id="rId11" xr:uid="{54F5777C-0821-4701-B5FF-50780AA93DA7}"/>
    <hyperlink ref="D119" r:id="rId12" xr:uid="{C99067F9-7081-4E72-A644-D669DD2C0483}"/>
    <hyperlink ref="D116" r:id="rId13" xr:uid="{6E4BB021-CA91-430E-BDE8-86F1D350C42A}"/>
    <hyperlink ref="D115" r:id="rId14" xr:uid="{969C7BB3-FCA7-4A38-B51F-BCAD72147D75}"/>
    <hyperlink ref="D121" r:id="rId15" xr:uid="{AFAAD723-BF2C-455E-93F7-7EA1AFCAFBEA}"/>
  </hyperlinks>
  <pageMargins left="0.7" right="0.7" top="0.75" bottom="0.75" header="0.3" footer="0.3"/>
  <pageSetup paperSize="9" orientation="portrait" verticalDpi="0"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4474-C4FD-491E-9DC9-7505457A5E25}">
  <dimension ref="A1:K156"/>
  <sheetViews>
    <sheetView zoomScale="110" zoomScaleNormal="110" workbookViewId="0">
      <pane xSplit="2" ySplit="13" topLeftCell="C14" activePane="bottomRight" state="frozen"/>
      <selection pane="topRight" activeCell="C1" sqref="C1"/>
      <selection pane="bottomLeft" activeCell="A19" sqref="A19"/>
      <selection pane="bottomRight" activeCell="B5" sqref="B5"/>
    </sheetView>
  </sheetViews>
  <sheetFormatPr defaultRowHeight="14.5" x14ac:dyDescent="0.35"/>
  <cols>
    <col min="1" max="1" width="4.08984375" customWidth="1"/>
    <col min="2" max="2" width="85.54296875" customWidth="1"/>
    <col min="3" max="3" width="25.08984375" customWidth="1"/>
    <col min="4" max="4" width="25.7265625" customWidth="1"/>
    <col min="5" max="5" width="21.26953125" customWidth="1"/>
    <col min="6" max="6" width="20" customWidth="1"/>
    <col min="7" max="7" width="26" customWidth="1"/>
    <col min="8" max="8" width="27.54296875" customWidth="1"/>
    <col min="9" max="9" width="28.1796875" customWidth="1"/>
    <col min="10" max="10" width="5" customWidth="1"/>
  </cols>
  <sheetData>
    <row r="1" spans="1:11" ht="28.5" x14ac:dyDescent="0.65">
      <c r="A1" s="9" t="str">
        <f>AI_Models!$A$1</f>
        <v>Path towards AGI &amp; artificial humans - How close are AIs and robotics from being able to do any work that humans can do? #74/101</v>
      </c>
    </row>
    <row r="2" spans="1:11" ht="15.5" x14ac:dyDescent="0.35">
      <c r="A2" s="10" t="str">
        <f>AI_Models!$A$2</f>
        <v>Proprietary. © H. Mathiesen. This material can be used by others free of charge provided that the author H. Mathiesen is attributed and a clickable link is made visible to the location of used material on www.hmexperience.dk</v>
      </c>
    </row>
    <row r="3" spans="1:11" ht="14.5" customHeight="1" x14ac:dyDescent="0.35">
      <c r="A3" s="414" t="str">
        <f>AI_Models!A3</f>
        <v>Links to all sources are available in sources table below</v>
      </c>
      <c r="B3" s="415"/>
    </row>
    <row r="4" spans="1:11" ht="14.5" customHeight="1" x14ac:dyDescent="0.35">
      <c r="A4" s="1023"/>
    </row>
    <row r="5" spans="1:11" ht="29" thickBot="1" x14ac:dyDescent="0.7">
      <c r="B5" s="874" t="s">
        <v>3173</v>
      </c>
    </row>
    <row r="6" spans="1:11" ht="21.5" thickTop="1" x14ac:dyDescent="0.5">
      <c r="A6">
        <f>1</f>
        <v>1</v>
      </c>
      <c r="B6" s="702" t="s">
        <v>3078</v>
      </c>
      <c r="C6" s="1065" t="s">
        <v>3079</v>
      </c>
      <c r="D6" s="1066" t="s">
        <v>3080</v>
      </c>
      <c r="E6" s="1067" t="s">
        <v>2707</v>
      </c>
      <c r="F6" s="1066" t="s">
        <v>2708</v>
      </c>
      <c r="G6" s="1066" t="s">
        <v>2318</v>
      </c>
      <c r="H6" s="1066" t="s">
        <v>2447</v>
      </c>
      <c r="I6" s="1068" t="s">
        <v>2446</v>
      </c>
      <c r="J6">
        <v>1</v>
      </c>
      <c r="K6" s="8"/>
    </row>
    <row r="7" spans="1:11" x14ac:dyDescent="0.35">
      <c r="A7">
        <f t="shared" ref="A7:A57" si="0">A6+1</f>
        <v>2</v>
      </c>
      <c r="B7" s="23" t="s">
        <v>3016</v>
      </c>
      <c r="C7" s="487" t="s">
        <v>3049</v>
      </c>
      <c r="D7" t="s">
        <v>2314</v>
      </c>
      <c r="E7" s="522" t="s">
        <v>2313</v>
      </c>
      <c r="F7" s="1" t="s">
        <v>2287</v>
      </c>
      <c r="G7" s="1" t="s">
        <v>2616</v>
      </c>
      <c r="H7" s="1" t="s">
        <v>2448</v>
      </c>
      <c r="I7" s="738" t="s">
        <v>2617</v>
      </c>
      <c r="J7">
        <f t="shared" ref="J7:J57" si="1">J6+1</f>
        <v>2</v>
      </c>
      <c r="K7" s="8"/>
    </row>
    <row r="8" spans="1:11" x14ac:dyDescent="0.35">
      <c r="A8">
        <f t="shared" si="0"/>
        <v>3</v>
      </c>
      <c r="B8" s="23" t="s">
        <v>3017</v>
      </c>
      <c r="C8" s="487" t="s">
        <v>3050</v>
      </c>
      <c r="D8" t="s">
        <v>2321</v>
      </c>
      <c r="E8" s="522" t="s">
        <v>2320</v>
      </c>
      <c r="F8" s="1" t="s">
        <v>2316</v>
      </c>
      <c r="G8" s="1" t="s">
        <v>2315</v>
      </c>
      <c r="H8" s="1" t="s">
        <v>2450</v>
      </c>
      <c r="I8" s="738" t="s">
        <v>2449</v>
      </c>
      <c r="J8">
        <f t="shared" si="1"/>
        <v>3</v>
      </c>
      <c r="K8" s="8" t="s">
        <v>32</v>
      </c>
    </row>
    <row r="9" spans="1:11" ht="14.5" customHeight="1" thickBot="1" x14ac:dyDescent="0.4">
      <c r="A9">
        <f t="shared" si="0"/>
        <v>4</v>
      </c>
      <c r="B9" s="1191" t="s">
        <v>3178</v>
      </c>
      <c r="C9" s="1189" t="s">
        <v>3089</v>
      </c>
      <c r="D9" s="1190">
        <v>2025</v>
      </c>
      <c r="E9" s="1186" t="s">
        <v>3174</v>
      </c>
      <c r="F9" s="1187" t="s">
        <v>3175</v>
      </c>
      <c r="G9" s="1187" t="s">
        <v>3176</v>
      </c>
      <c r="H9" s="1187" t="s">
        <v>3177</v>
      </c>
      <c r="I9" s="1188" t="s">
        <v>3177</v>
      </c>
      <c r="J9">
        <f t="shared" si="1"/>
        <v>4</v>
      </c>
      <c r="K9" s="8"/>
    </row>
    <row r="10" spans="1:11" ht="21.5" thickTop="1" x14ac:dyDescent="0.5">
      <c r="A10">
        <f t="shared" si="0"/>
        <v>5</v>
      </c>
      <c r="B10" s="699" t="s">
        <v>3168</v>
      </c>
      <c r="C10" s="1084" t="s">
        <v>1649</v>
      </c>
      <c r="D10" s="1085" t="s">
        <v>3171</v>
      </c>
      <c r="E10" s="1085" t="s">
        <v>3169</v>
      </c>
      <c r="F10" s="1179" t="s">
        <v>1650</v>
      </c>
      <c r="G10" s="1179" t="s">
        <v>2451</v>
      </c>
      <c r="H10" s="1179" t="s">
        <v>2466</v>
      </c>
      <c r="I10" s="1087" t="s">
        <v>2467</v>
      </c>
      <c r="J10">
        <f t="shared" si="1"/>
        <v>5</v>
      </c>
      <c r="K10" s="8"/>
    </row>
    <row r="11" spans="1:11" x14ac:dyDescent="0.35">
      <c r="A11">
        <f t="shared" si="0"/>
        <v>6</v>
      </c>
      <c r="B11" s="23" t="s">
        <v>2476</v>
      </c>
      <c r="C11" s="717" t="s">
        <v>1490</v>
      </c>
      <c r="D11" s="884" t="s">
        <v>1491</v>
      </c>
      <c r="E11" s="892" t="s">
        <v>3015</v>
      </c>
      <c r="F11" s="889" t="s">
        <v>1490</v>
      </c>
      <c r="G11" s="807" t="s">
        <v>1490</v>
      </c>
      <c r="H11" s="807" t="s">
        <v>1490</v>
      </c>
      <c r="I11" s="727" t="s">
        <v>1490</v>
      </c>
      <c r="J11">
        <f t="shared" si="1"/>
        <v>6</v>
      </c>
      <c r="K11" s="132" t="s">
        <v>45</v>
      </c>
    </row>
    <row r="12" spans="1:11" x14ac:dyDescent="0.35">
      <c r="A12">
        <f t="shared" si="0"/>
        <v>7</v>
      </c>
      <c r="B12" s="23" t="s">
        <v>2783</v>
      </c>
      <c r="C12" s="717" t="s">
        <v>1490</v>
      </c>
      <c r="D12" s="815" t="s">
        <v>2358</v>
      </c>
      <c r="E12" s="888" t="s">
        <v>1490</v>
      </c>
      <c r="F12" s="889" t="s">
        <v>1490</v>
      </c>
      <c r="G12" s="807" t="s">
        <v>1490</v>
      </c>
      <c r="H12" s="807" t="s">
        <v>1490</v>
      </c>
      <c r="I12" s="727" t="s">
        <v>1490</v>
      </c>
      <c r="J12">
        <f t="shared" si="1"/>
        <v>7</v>
      </c>
      <c r="K12" s="132" t="s">
        <v>45</v>
      </c>
    </row>
    <row r="13" spans="1:11" ht="15" thickBot="1" x14ac:dyDescent="0.4">
      <c r="A13">
        <f t="shared" si="0"/>
        <v>8</v>
      </c>
      <c r="B13" s="23" t="s">
        <v>2477</v>
      </c>
      <c r="C13" s="914" t="s">
        <v>3081</v>
      </c>
      <c r="D13" s="885" t="s">
        <v>1491</v>
      </c>
      <c r="E13" s="236" t="s">
        <v>2696</v>
      </c>
      <c r="F13" s="890" t="s">
        <v>2475</v>
      </c>
      <c r="G13" s="890" t="s">
        <v>1490</v>
      </c>
      <c r="H13" s="807" t="s">
        <v>1490</v>
      </c>
      <c r="I13" s="727" t="s">
        <v>1490</v>
      </c>
      <c r="J13">
        <f t="shared" si="1"/>
        <v>8</v>
      </c>
      <c r="K13" s="132"/>
    </row>
    <row r="14" spans="1:11" ht="21.5" thickTop="1" x14ac:dyDescent="0.5">
      <c r="A14">
        <f t="shared" si="0"/>
        <v>9</v>
      </c>
      <c r="B14" s="702" t="s">
        <v>3123</v>
      </c>
      <c r="C14" s="490"/>
      <c r="D14" s="456"/>
      <c r="E14" s="455"/>
      <c r="F14" s="456"/>
      <c r="G14" s="456"/>
      <c r="H14" s="456"/>
      <c r="I14" s="469"/>
      <c r="J14">
        <f t="shared" si="1"/>
        <v>9</v>
      </c>
      <c r="K14" s="8"/>
    </row>
    <row r="15" spans="1:11" x14ac:dyDescent="0.35">
      <c r="A15">
        <f t="shared" si="0"/>
        <v>10</v>
      </c>
      <c r="B15" s="23" t="s">
        <v>3118</v>
      </c>
      <c r="C15" s="798" t="s">
        <v>3119</v>
      </c>
      <c r="D15" s="4" t="s">
        <v>2574</v>
      </c>
      <c r="E15" s="875" t="s">
        <v>2572</v>
      </c>
      <c r="F15" s="657">
        <v>1</v>
      </c>
      <c r="G15" s="657">
        <v>1</v>
      </c>
      <c r="H15" s="657">
        <v>1</v>
      </c>
      <c r="I15" s="1181">
        <v>1</v>
      </c>
      <c r="J15">
        <f t="shared" si="1"/>
        <v>10</v>
      </c>
    </row>
    <row r="16" spans="1:11" x14ac:dyDescent="0.35">
      <c r="A16">
        <f t="shared" si="0"/>
        <v>11</v>
      </c>
      <c r="B16" s="23" t="s">
        <v>3117</v>
      </c>
      <c r="C16" s="798" t="s">
        <v>3120</v>
      </c>
      <c r="D16" s="4" t="s">
        <v>2781</v>
      </c>
      <c r="E16" s="875" t="s">
        <v>2573</v>
      </c>
      <c r="F16" s="657">
        <v>1</v>
      </c>
      <c r="G16" s="657">
        <v>1</v>
      </c>
      <c r="H16" s="657">
        <v>1</v>
      </c>
      <c r="I16" s="1181">
        <v>1</v>
      </c>
      <c r="J16">
        <f t="shared" si="1"/>
        <v>11</v>
      </c>
      <c r="K16" s="8"/>
    </row>
    <row r="17" spans="1:11" x14ac:dyDescent="0.35">
      <c r="A17">
        <f t="shared" si="0"/>
        <v>12</v>
      </c>
      <c r="B17" s="23" t="s">
        <v>2824</v>
      </c>
      <c r="C17" s="996">
        <f>GlobalChipProd_TFLOPS_GB_RAM!Y14</f>
        <v>8175338049.428442</v>
      </c>
      <c r="D17" s="2">
        <f>GlobalChipProd_TFLOPS_GB_RAM!Y14</f>
        <v>8175338049.428442</v>
      </c>
      <c r="E17" s="997">
        <f>GlobalChipProd_TFLOPS_GB_RAM!Y18</f>
        <v>8450157203.9056673</v>
      </c>
      <c r="F17" s="91">
        <f>GlobalChipProd_TFLOPS_GB_RAM!Y24</f>
        <v>8879804239.9528694</v>
      </c>
      <c r="G17" s="91">
        <f>GlobalChipProd_TFLOPS_GB_RAM!Y34</f>
        <v>9644974050.3877525</v>
      </c>
      <c r="H17" s="981" t="s">
        <v>45</v>
      </c>
      <c r="I17" s="1182" t="s">
        <v>45</v>
      </c>
      <c r="J17">
        <f t="shared" si="1"/>
        <v>12</v>
      </c>
      <c r="K17" s="8"/>
    </row>
    <row r="18" spans="1:11" x14ac:dyDescent="0.35">
      <c r="A18">
        <f t="shared" si="0"/>
        <v>13</v>
      </c>
      <c r="B18" s="23" t="s">
        <v>2991</v>
      </c>
      <c r="C18" s="992">
        <f>GlobalChipProd_TFLOPS_GB_RAM!$Y43</f>
        <v>8.3000000000000001E-3</v>
      </c>
      <c r="D18" s="992">
        <f>GlobalChipProd_TFLOPS_GB_RAM!$Y43</f>
        <v>8.3000000000000001E-3</v>
      </c>
      <c r="E18" s="960">
        <f>GlobalChipProd_TFLOPS_GB_RAM!$Y43</f>
        <v>8.3000000000000001E-3</v>
      </c>
      <c r="F18" s="523">
        <f>GlobalChipProd_TFLOPS_GB_RAM!$Y43</f>
        <v>8.3000000000000001E-3</v>
      </c>
      <c r="G18" s="523">
        <f>GlobalChipProd_TFLOPS_GB_RAM!$Y43</f>
        <v>8.3000000000000001E-3</v>
      </c>
      <c r="H18" s="981" t="s">
        <v>45</v>
      </c>
      <c r="I18" s="1182" t="s">
        <v>45</v>
      </c>
      <c r="J18">
        <f t="shared" si="1"/>
        <v>13</v>
      </c>
      <c r="K18" s="8"/>
    </row>
    <row r="19" spans="1:11" x14ac:dyDescent="0.35">
      <c r="A19">
        <f t="shared" si="0"/>
        <v>14</v>
      </c>
      <c r="B19" s="23" t="s">
        <v>2825</v>
      </c>
      <c r="C19" s="996">
        <f>GlobalChipProd_TFLOPS_GB_RAM!W14</f>
        <v>7500</v>
      </c>
      <c r="D19" s="2">
        <f>GlobalChipProd_TFLOPS_GB_RAM!W14</f>
        <v>7500</v>
      </c>
      <c r="E19" s="997">
        <f>GlobalChipProd_TFLOPS_GB_RAM!W18</f>
        <v>3103000</v>
      </c>
      <c r="F19" s="91">
        <f>GlobalChipProd_TFLOPS_GB_RAM!W24</f>
        <v>326350080</v>
      </c>
      <c r="G19" s="91">
        <f>GlobalChipProd_TFLOPS_GB_RAM!W34</f>
        <v>12674339017.576529</v>
      </c>
      <c r="H19" s="981" t="s">
        <v>45</v>
      </c>
      <c r="I19" s="1182" t="s">
        <v>45</v>
      </c>
      <c r="J19">
        <f t="shared" si="1"/>
        <v>14</v>
      </c>
      <c r="K19" s="8"/>
    </row>
    <row r="20" spans="1:11" x14ac:dyDescent="0.35">
      <c r="A20">
        <f t="shared" si="0"/>
        <v>15</v>
      </c>
      <c r="B20" s="23" t="s">
        <v>2990</v>
      </c>
      <c r="C20" s="992">
        <f>GlobalChipProd_TFLOPS_GB_RAM!X14</f>
        <v>4</v>
      </c>
      <c r="D20" s="69">
        <f>GlobalChipProd_TFLOPS_GB_RAM!X14</f>
        <v>4</v>
      </c>
      <c r="E20" s="960">
        <f>GlobalChipProd_TFLOPS_GB_RAM!X18</f>
        <v>2.2888182299947006</v>
      </c>
      <c r="F20" s="523">
        <f>GlobalChipProd_TFLOPS_GB_RAM!X24</f>
        <v>0.87430839846172936</v>
      </c>
      <c r="G20" s="523">
        <f>GlobalChipProd_TFLOPS_GB_RAM!X34</f>
        <v>0.3</v>
      </c>
      <c r="H20" s="981" t="s">
        <v>45</v>
      </c>
      <c r="I20" s="1182" t="s">
        <v>45</v>
      </c>
      <c r="J20">
        <f t="shared" si="1"/>
        <v>15</v>
      </c>
      <c r="K20" s="8"/>
    </row>
    <row r="21" spans="1:11" x14ac:dyDescent="0.35">
      <c r="A21">
        <f t="shared" si="0"/>
        <v>16</v>
      </c>
      <c r="B21" s="23" t="s">
        <v>2826</v>
      </c>
      <c r="C21" s="996">
        <f>GlobalChipProd_TFLOPS_GB_RAM!Y40</f>
        <v>1748</v>
      </c>
      <c r="D21" s="2">
        <f>GlobalChipProd_TFLOPS_GB_RAM!W40</f>
        <v>8008</v>
      </c>
      <c r="E21" s="997">
        <f>GlobalChipProd_TFLOPS_GB_RAM!W40</f>
        <v>8008</v>
      </c>
      <c r="F21" s="91">
        <f>GlobalChipProd_TFLOPS_GB_RAM!W40</f>
        <v>8008</v>
      </c>
      <c r="G21" s="91">
        <f>GlobalChipProd_TFLOPS_GB_RAM!W40</f>
        <v>8008</v>
      </c>
      <c r="H21" s="981" t="s">
        <v>45</v>
      </c>
      <c r="I21" s="1182" t="s">
        <v>45</v>
      </c>
      <c r="J21">
        <f t="shared" si="1"/>
        <v>16</v>
      </c>
      <c r="K21" s="8"/>
    </row>
    <row r="22" spans="1:11" x14ac:dyDescent="0.35">
      <c r="A22">
        <f t="shared" si="0"/>
        <v>17</v>
      </c>
      <c r="B22" s="23" t="s">
        <v>2827</v>
      </c>
      <c r="C22" s="798">
        <v>0.5</v>
      </c>
      <c r="D22" s="4">
        <v>1</v>
      </c>
      <c r="E22" s="875">
        <v>1</v>
      </c>
      <c r="F22" s="657">
        <v>1</v>
      </c>
      <c r="G22" s="657">
        <v>1</v>
      </c>
      <c r="H22" s="981" t="s">
        <v>45</v>
      </c>
      <c r="I22" s="1182" t="s">
        <v>45</v>
      </c>
      <c r="J22">
        <f t="shared" si="1"/>
        <v>17</v>
      </c>
      <c r="K22" s="8"/>
    </row>
    <row r="23" spans="1:11" x14ac:dyDescent="0.35">
      <c r="A23">
        <f t="shared" si="0"/>
        <v>18</v>
      </c>
      <c r="B23" s="23" t="s">
        <v>2742</v>
      </c>
      <c r="C23" s="989" t="s">
        <v>45</v>
      </c>
      <c r="D23" s="119">
        <f>GlobalChipProd_TFLOPS_GB_RAM!AA14</f>
        <v>5.5E-2</v>
      </c>
      <c r="E23" s="990">
        <f>GlobalChipProd_TFLOPS_GB_RAM!AA18</f>
        <v>0.5</v>
      </c>
      <c r="F23" s="991">
        <f>GlobalChipProd_TFLOPS_GB_RAM!AA24</f>
        <v>1.2</v>
      </c>
      <c r="G23" s="991">
        <f>GlobalChipProd_TFLOPS_GB_RAM!AA34</f>
        <v>2</v>
      </c>
      <c r="H23" s="981" t="s">
        <v>45</v>
      </c>
      <c r="I23" s="1182" t="s">
        <v>45</v>
      </c>
      <c r="J23">
        <f t="shared" si="1"/>
        <v>18</v>
      </c>
      <c r="K23" s="8"/>
    </row>
    <row r="24" spans="1:11" x14ac:dyDescent="0.35">
      <c r="A24">
        <f t="shared" si="0"/>
        <v>19</v>
      </c>
      <c r="B24" s="23" t="s">
        <v>2741</v>
      </c>
      <c r="C24" s="979">
        <f>GlobalChipProd_TFLOPS_GB_RAM!AC14</f>
        <v>15.49734571506411</v>
      </c>
      <c r="D24" s="408">
        <f>GlobalChipProd_TFLOPS_GB_RAM!AB14</f>
        <v>0.85235401432852609</v>
      </c>
      <c r="E24" s="980">
        <f>GlobalChipProd_TFLOPS_GB_RAM!AB18</f>
        <v>8.5664211281168594</v>
      </c>
      <c r="F24" s="963">
        <f>GlobalChipProd_TFLOPS_GB_RAM!AB24</f>
        <v>25.424672365390993</v>
      </c>
      <c r="G24" s="963">
        <f>GlobalChipProd_TFLOPS_GB_RAM!AB34</f>
        <v>95.761131733017407</v>
      </c>
      <c r="H24" s="981" t="s">
        <v>45</v>
      </c>
      <c r="I24" s="1182" t="s">
        <v>45</v>
      </c>
      <c r="J24">
        <f t="shared" si="1"/>
        <v>19</v>
      </c>
      <c r="K24" s="8"/>
    </row>
    <row r="25" spans="1:11" x14ac:dyDescent="0.35">
      <c r="A25">
        <f t="shared" si="0"/>
        <v>20</v>
      </c>
      <c r="B25" s="23" t="s">
        <v>3065</v>
      </c>
      <c r="C25" s="1059">
        <f>GlobalChipProd_TFLOPS_GB_RAM!AF14</f>
        <v>13544.680154966032</v>
      </c>
      <c r="D25" s="1060">
        <f>GlobalChipProd_TFLOPS_GB_RAM!AD14</f>
        <v>6825.6509467428368</v>
      </c>
      <c r="E25" s="1061">
        <f>GlobalChipProd_TFLOPS_GB_RAM!AD18</f>
        <v>68599.900393959819</v>
      </c>
      <c r="F25" s="1062">
        <f>GlobalChipProd_TFLOPS_GB_RAM!AD24</f>
        <v>203600.77630205106</v>
      </c>
      <c r="G25" s="1062">
        <f>GlobalChipProd_TFLOPS_GB_RAM!AD34</f>
        <v>766855.14291800337</v>
      </c>
      <c r="H25" s="981" t="s">
        <v>45</v>
      </c>
      <c r="I25" s="1182" t="s">
        <v>45</v>
      </c>
      <c r="J25">
        <f t="shared" si="1"/>
        <v>20</v>
      </c>
      <c r="K25" s="8"/>
    </row>
    <row r="26" spans="1:11" x14ac:dyDescent="0.35">
      <c r="A26">
        <f t="shared" si="0"/>
        <v>21</v>
      </c>
      <c r="B26" s="23" t="s">
        <v>3037</v>
      </c>
      <c r="C26" s="1059" t="s">
        <v>45</v>
      </c>
      <c r="D26" s="1060">
        <f>$C65</f>
        <v>14826.666666666668</v>
      </c>
      <c r="E26" s="1061">
        <f>$C65</f>
        <v>14826.666666666668</v>
      </c>
      <c r="F26" s="1062">
        <f>$C65</f>
        <v>14826.666666666668</v>
      </c>
      <c r="G26" s="1062">
        <f>$C65</f>
        <v>14826.666666666668</v>
      </c>
      <c r="H26" s="981" t="s">
        <v>45</v>
      </c>
      <c r="I26" s="1182" t="s">
        <v>45</v>
      </c>
      <c r="J26">
        <f t="shared" si="1"/>
        <v>21</v>
      </c>
      <c r="K26" s="8"/>
    </row>
    <row r="27" spans="1:11" x14ac:dyDescent="0.35">
      <c r="A27">
        <f t="shared" si="0"/>
        <v>22</v>
      </c>
      <c r="B27" s="23" t="s">
        <v>2936</v>
      </c>
      <c r="C27" s="989">
        <f>GlobalChipProd_TFLOPS_GB_RAM!AH14</f>
        <v>0.50393592677345544</v>
      </c>
      <c r="D27" s="183">
        <f>GlobalChipProd_TFLOPS_GB_RAM!AH14</f>
        <v>0.50393592677345544</v>
      </c>
      <c r="E27" s="990">
        <f>GlobalChipProd_TFLOPS_GB_RAM!AH18</f>
        <v>4.581235697940504</v>
      </c>
      <c r="F27" s="991">
        <f>GlobalChipProd_TFLOPS_GB_RAM!AH24</f>
        <v>10.994965675057209</v>
      </c>
      <c r="G27" s="991">
        <f>GlobalChipProd_TFLOPS_GB_RAM!AH34</f>
        <v>18.324942791762016</v>
      </c>
      <c r="H27" s="936" t="s">
        <v>45</v>
      </c>
      <c r="I27" s="1183" t="s">
        <v>45</v>
      </c>
      <c r="J27">
        <f t="shared" si="1"/>
        <v>22</v>
      </c>
      <c r="K27" s="8"/>
    </row>
    <row r="28" spans="1:11" ht="15" thickBot="1" x14ac:dyDescent="0.4">
      <c r="A28">
        <f t="shared" si="0"/>
        <v>23</v>
      </c>
      <c r="B28" s="23"/>
      <c r="C28" s="798"/>
      <c r="D28" s="4"/>
      <c r="E28" s="875"/>
      <c r="F28" s="657"/>
      <c r="G28" s="657"/>
      <c r="H28" s="981"/>
      <c r="I28" s="1182"/>
      <c r="J28">
        <f t="shared" si="1"/>
        <v>23</v>
      </c>
      <c r="K28" s="8"/>
    </row>
    <row r="29" spans="1:11" ht="21.5" thickTop="1" x14ac:dyDescent="0.5">
      <c r="A29">
        <f t="shared" si="0"/>
        <v>24</v>
      </c>
      <c r="B29" s="702" t="s">
        <v>3122</v>
      </c>
      <c r="C29" s="1171"/>
      <c r="D29" s="1172"/>
      <c r="E29" s="1173"/>
      <c r="F29" s="1172"/>
      <c r="G29" s="1172"/>
      <c r="H29" s="1174"/>
      <c r="I29" s="1184"/>
      <c r="J29">
        <f t="shared" si="1"/>
        <v>24</v>
      </c>
      <c r="K29" s="8"/>
    </row>
    <row r="30" spans="1:11" x14ac:dyDescent="0.35">
      <c r="A30">
        <f t="shared" si="0"/>
        <v>25</v>
      </c>
      <c r="B30" s="23" t="s">
        <v>3125</v>
      </c>
      <c r="C30" s="992">
        <f>1-C31</f>
        <v>0.99999953769279259</v>
      </c>
      <c r="D30" s="69">
        <f>1-D31</f>
        <v>0.99999953769279259</v>
      </c>
      <c r="E30" s="960">
        <f>1-E31</f>
        <v>0.99832054013414984</v>
      </c>
      <c r="F30" s="523">
        <f>1-F31</f>
        <v>0.71220689558073902</v>
      </c>
      <c r="G30" s="523">
        <f>1-G31</f>
        <v>3.9871491466679121E-2</v>
      </c>
      <c r="H30" s="936" t="s">
        <v>45</v>
      </c>
      <c r="I30" s="1183" t="s">
        <v>45</v>
      </c>
      <c r="J30">
        <f t="shared" si="1"/>
        <v>25</v>
      </c>
      <c r="K30" s="8"/>
    </row>
    <row r="31" spans="1:11" x14ac:dyDescent="0.35">
      <c r="A31">
        <f t="shared" si="0"/>
        <v>26</v>
      </c>
      <c r="B31" s="23" t="s">
        <v>3126</v>
      </c>
      <c r="C31" s="992">
        <f>GlobalChipProd_TFLOPS_GB_RAM!AQ14</f>
        <v>4.6230720743909399E-7</v>
      </c>
      <c r="D31" s="69">
        <f>GlobalChipProd_TFLOPS_GB_RAM!AQ14</f>
        <v>4.6230720743909399E-7</v>
      </c>
      <c r="E31" s="960">
        <f>GlobalChipProd_TFLOPS_GB_RAM!AQ18</f>
        <v>1.6794598658501118E-3</v>
      </c>
      <c r="F31" s="523">
        <f>GlobalChipProd_TFLOPS_GB_RAM!AQ24</f>
        <v>0.28779310441926093</v>
      </c>
      <c r="G31" s="523">
        <f>GlobalChipProd_TFLOPS_GB_RAM!AQ34</f>
        <v>0.96012850853332088</v>
      </c>
      <c r="H31" s="936" t="s">
        <v>45</v>
      </c>
      <c r="I31" s="1183" t="s">
        <v>45</v>
      </c>
      <c r="J31">
        <f t="shared" si="1"/>
        <v>26</v>
      </c>
      <c r="K31" s="8"/>
    </row>
    <row r="32" spans="1:11" x14ac:dyDescent="0.35">
      <c r="A32">
        <f t="shared" si="0"/>
        <v>27</v>
      </c>
      <c r="B32" s="23" t="s">
        <v>2813</v>
      </c>
      <c r="C32" s="992">
        <f>GlobalChipProd_TFLOPS_GB_RAM!AL14</f>
        <v>3.2641884693381806E-2</v>
      </c>
      <c r="D32" s="69">
        <f>GlobalChipProd_TFLOPS_GB_RAM!AL14</f>
        <v>3.2641884693381806E-2</v>
      </c>
      <c r="E32" s="960">
        <f>GlobalChipProd_TFLOPS_GB_RAM!AL18</f>
        <v>3.5000000000000003E-2</v>
      </c>
      <c r="F32" s="523">
        <f>GlobalChipProd_TFLOPS_GB_RAM!AL24</f>
        <v>0.06</v>
      </c>
      <c r="G32" s="523">
        <f>GlobalChipProd_TFLOPS_GB_RAM!AL34</f>
        <v>0.1</v>
      </c>
      <c r="H32" s="936" t="s">
        <v>45</v>
      </c>
      <c r="I32" s="1183" t="s">
        <v>45</v>
      </c>
      <c r="J32">
        <f t="shared" si="1"/>
        <v>27</v>
      </c>
      <c r="K32" s="8"/>
    </row>
    <row r="33" spans="1:11" x14ac:dyDescent="0.35">
      <c r="A33">
        <f t="shared" si="0"/>
        <v>28</v>
      </c>
      <c r="B33" s="23" t="s">
        <v>2812</v>
      </c>
      <c r="C33" s="992">
        <f>GlobalChipProd_TFLOPS_GB_RAM!AJ14</f>
        <v>8.3879638431247319</v>
      </c>
      <c r="D33" s="69">
        <f>GlobalChipProd_TFLOPS_GB_RAM!AJ14</f>
        <v>8.3879638431247319</v>
      </c>
      <c r="E33" s="960">
        <f>GlobalChipProd_TFLOPS_GB_RAM!AJ18</f>
        <v>4.6265114021033993</v>
      </c>
      <c r="F33" s="523">
        <f>GlobalChipProd_TFLOPS_GB_RAM!AJ24</f>
        <v>1.1495408859586524</v>
      </c>
      <c r="G33" s="523">
        <f>GlobalChipProd_TFLOPS_GB_RAM!AJ34</f>
        <v>0.41822870177526561</v>
      </c>
      <c r="H33" s="936" t="s">
        <v>45</v>
      </c>
      <c r="I33" s="1183" t="s">
        <v>45</v>
      </c>
      <c r="J33">
        <f t="shared" si="1"/>
        <v>28</v>
      </c>
      <c r="K33" s="8"/>
    </row>
    <row r="34" spans="1:11" x14ac:dyDescent="0.35">
      <c r="A34">
        <f t="shared" si="0"/>
        <v>29</v>
      </c>
      <c r="B34" s="23" t="s">
        <v>2810</v>
      </c>
      <c r="C34" s="998">
        <f>GlobalChipProd_TFLOPS_GB_RAM!AK14</f>
        <v>110732.33903823212</v>
      </c>
      <c r="D34" s="185">
        <f>GlobalChipProd_TFLOPS_GB_RAM!AK14</f>
        <v>110732.33903823212</v>
      </c>
      <c r="E34" s="950">
        <f>GlobalChipProd_TFLOPS_GB_RAM!AK18</f>
        <v>126533.5339026163</v>
      </c>
      <c r="F34" s="520">
        <f>GlobalChipProd_TFLOPS_GB_RAM!AK24</f>
        <v>164432.98597703368</v>
      </c>
      <c r="G34" s="520">
        <f>GlobalChipProd_TFLOPS_GB_RAM!AK34</f>
        <v>403619.15657251287</v>
      </c>
      <c r="H34" s="936" t="s">
        <v>45</v>
      </c>
      <c r="I34" s="1183" t="s">
        <v>45</v>
      </c>
      <c r="J34">
        <f t="shared" si="1"/>
        <v>29</v>
      </c>
      <c r="K34" s="8"/>
    </row>
    <row r="35" spans="1:11" x14ac:dyDescent="0.35">
      <c r="A35">
        <f t="shared" si="0"/>
        <v>30</v>
      </c>
      <c r="B35" s="23" t="s">
        <v>3112</v>
      </c>
      <c r="C35" s="1176">
        <f>GlobalChipProd_TFLOPS_GB_RAM!AM14</f>
        <v>1</v>
      </c>
      <c r="D35" s="119">
        <f>GlobalChipProd_TFLOPS_GB_RAM!AM14</f>
        <v>1</v>
      </c>
      <c r="E35" s="990">
        <f>GlobalChipProd_TFLOPS_GB_RAM!AM18</f>
        <v>1.1426972012117307</v>
      </c>
      <c r="F35" s="991">
        <f>GlobalChipProd_TFLOPS_GB_RAM!AM24</f>
        <v>1.4849590228583591</v>
      </c>
      <c r="G35" s="991">
        <f>GlobalChipProd_TFLOPS_GB_RAM!AM34</f>
        <v>3.6449980202545618</v>
      </c>
      <c r="H35" s="936" t="s">
        <v>45</v>
      </c>
      <c r="I35" s="1183" t="s">
        <v>45</v>
      </c>
      <c r="J35">
        <f t="shared" si="1"/>
        <v>30</v>
      </c>
      <c r="K35" s="8"/>
    </row>
    <row r="36" spans="1:11" x14ac:dyDescent="0.35">
      <c r="A36">
        <f t="shared" si="0"/>
        <v>31</v>
      </c>
      <c r="B36" s="23" t="s">
        <v>2811</v>
      </c>
      <c r="C36" s="998">
        <f>GlobalChipProd_TFLOPS_GB_RAM!AI14</f>
        <v>5.1192382100571275E-2</v>
      </c>
      <c r="D36" s="185">
        <f>GlobalChipProd_TFLOPS_GB_RAM!AI14</f>
        <v>5.1192382100571275E-2</v>
      </c>
      <c r="E36" s="950">
        <f>GlobalChipProd_TFLOPS_GB_RAM!AI18</f>
        <v>212.8654909224573</v>
      </c>
      <c r="F36" s="520">
        <f>GlobalChipProd_TFLOPS_GB_RAM!AI24</f>
        <v>66445.129634236466</v>
      </c>
      <c r="G36" s="520">
        <f>GlobalChipProd_TFLOPS_GB_RAM!AI34</f>
        <v>9719382.058714876</v>
      </c>
      <c r="H36" s="936" t="s">
        <v>45</v>
      </c>
      <c r="I36" s="1183" t="s">
        <v>45</v>
      </c>
      <c r="J36">
        <f t="shared" si="1"/>
        <v>31</v>
      </c>
      <c r="K36" s="8"/>
    </row>
    <row r="37" spans="1:11" x14ac:dyDescent="0.35">
      <c r="A37">
        <f t="shared" si="0"/>
        <v>32</v>
      </c>
      <c r="B37" s="23" t="s">
        <v>3124</v>
      </c>
      <c r="C37" s="998">
        <f>GlobalChipProd_TFLOPS_GB_RAM!AN14</f>
        <v>110732.39023061423</v>
      </c>
      <c r="D37" s="185">
        <f>GlobalChipProd_TFLOPS_GB_RAM!AN14</f>
        <v>110732.39023061423</v>
      </c>
      <c r="E37" s="950">
        <f>GlobalChipProd_TFLOPS_GB_RAM!AN18</f>
        <v>126746.39939353876</v>
      </c>
      <c r="F37" s="520">
        <f>GlobalChipProd_TFLOPS_GB_RAM!AN24</f>
        <v>230878.11561127013</v>
      </c>
      <c r="G37" s="520">
        <f>GlobalChipProd_TFLOPS_GB_RAM!AN34</f>
        <v>10123001.215287389</v>
      </c>
      <c r="H37" s="936" t="s">
        <v>45</v>
      </c>
      <c r="I37" s="1183" t="s">
        <v>45</v>
      </c>
      <c r="J37">
        <f t="shared" si="1"/>
        <v>32</v>
      </c>
      <c r="K37" s="8"/>
    </row>
    <row r="38" spans="1:11" x14ac:dyDescent="0.35">
      <c r="A38">
        <f t="shared" si="0"/>
        <v>33</v>
      </c>
      <c r="B38" s="23" t="s">
        <v>3113</v>
      </c>
      <c r="C38" s="1176">
        <f>GlobalChipProd_TFLOPS_GB_RAM!AP14</f>
        <v>1</v>
      </c>
      <c r="D38" s="119">
        <f>GlobalChipProd_TFLOPS_GB_RAM!AP14</f>
        <v>1</v>
      </c>
      <c r="E38" s="990">
        <f>GlobalChipProd_TFLOPS_GB_RAM!AP18</f>
        <v>1.1446190146313409</v>
      </c>
      <c r="F38" s="991">
        <f>GlobalChipProd_TFLOPS_GB_RAM!AP24</f>
        <v>2.0850097711287292</v>
      </c>
      <c r="G38" s="991">
        <f>GlobalChipProd_TFLOPS_GB_RAM!AP34</f>
        <v>91.41861016641073</v>
      </c>
      <c r="H38" s="936" t="s">
        <v>45</v>
      </c>
      <c r="I38" s="1183" t="s">
        <v>45</v>
      </c>
      <c r="J38">
        <f t="shared" si="1"/>
        <v>33</v>
      </c>
      <c r="K38" s="8"/>
    </row>
    <row r="39" spans="1:11" x14ac:dyDescent="0.35">
      <c r="A39">
        <f t="shared" si="0"/>
        <v>34</v>
      </c>
      <c r="B39" s="23" t="s">
        <v>3006</v>
      </c>
      <c r="C39" s="1031">
        <f>GlobalChipProd_TFLOPS_GB_RAM!Z14</f>
        <v>0.24</v>
      </c>
      <c r="D39" s="83">
        <f>GlobalChipProd_TFLOPS_GB_RAM!Z14</f>
        <v>0.24</v>
      </c>
      <c r="E39" s="997">
        <f>GlobalChipProd_TFLOPS_GB_RAM!Z18</f>
        <v>86.4</v>
      </c>
      <c r="F39" s="91">
        <f>GlobalChipProd_TFLOPS_GB_RAM!Z24</f>
        <v>6175.6992000000009</v>
      </c>
      <c r="G39" s="91">
        <f>GlobalChipProd_TFLOPS_GB_RAM!Z34</f>
        <v>147566.07994346338</v>
      </c>
      <c r="H39" s="936" t="s">
        <v>45</v>
      </c>
      <c r="I39" s="1183" t="s">
        <v>45</v>
      </c>
      <c r="J39">
        <f t="shared" si="1"/>
        <v>34</v>
      </c>
      <c r="K39" s="8"/>
    </row>
    <row r="40" spans="1:11" ht="15" thickBot="1" x14ac:dyDescent="0.4">
      <c r="A40">
        <f t="shared" si="0"/>
        <v>35</v>
      </c>
      <c r="B40" s="23"/>
      <c r="C40" s="1030"/>
      <c r="D40" s="413"/>
      <c r="E40" s="1029"/>
      <c r="F40" s="991"/>
      <c r="G40" s="991"/>
      <c r="H40" s="936"/>
      <c r="I40" s="1183"/>
      <c r="J40">
        <f t="shared" si="1"/>
        <v>35</v>
      </c>
      <c r="K40" s="8"/>
    </row>
    <row r="41" spans="1:11" ht="21.5" thickTop="1" x14ac:dyDescent="0.5">
      <c r="A41">
        <f t="shared" si="0"/>
        <v>36</v>
      </c>
      <c r="B41" s="702" t="s">
        <v>3137</v>
      </c>
      <c r="C41" s="1169"/>
      <c r="D41" s="622"/>
      <c r="E41" s="1170"/>
      <c r="F41" s="535"/>
      <c r="G41" s="535"/>
      <c r="H41" s="1130"/>
      <c r="I41" s="1168"/>
      <c r="J41">
        <f t="shared" si="1"/>
        <v>36</v>
      </c>
      <c r="K41" s="8"/>
    </row>
    <row r="42" spans="1:11" x14ac:dyDescent="0.35">
      <c r="A42">
        <f t="shared" si="0"/>
        <v>37</v>
      </c>
      <c r="B42" s="23" t="s">
        <v>3005</v>
      </c>
      <c r="C42" s="998">
        <f>GlobalChipProd_TFLOPS_GB_RAM!G14</f>
        <v>130</v>
      </c>
      <c r="D42" s="185">
        <f>GlobalChipProd_TFLOPS_GB_RAM!G14</f>
        <v>130</v>
      </c>
      <c r="E42" s="950">
        <f>GlobalChipProd_TFLOPS_GB_RAM!G18</f>
        <v>446.16</v>
      </c>
      <c r="F42" s="520">
        <f>GlobalChipProd_TFLOPS_GB_RAM!G24</f>
        <v>928.3447265625</v>
      </c>
      <c r="G42" s="520">
        <f>GlobalChipProd_TFLOPS_GB_RAM!G34</f>
        <v>2881.9613362429668</v>
      </c>
      <c r="H42" s="936" t="s">
        <v>45</v>
      </c>
      <c r="I42" s="1183" t="s">
        <v>45</v>
      </c>
      <c r="J42">
        <f t="shared" si="1"/>
        <v>37</v>
      </c>
      <c r="K42" s="8"/>
    </row>
    <row r="43" spans="1:11" x14ac:dyDescent="0.35">
      <c r="A43">
        <f t="shared" si="0"/>
        <v>38</v>
      </c>
      <c r="B43" s="23" t="s">
        <v>3127</v>
      </c>
      <c r="C43" s="1031">
        <f>GlobalChipProd_TFLOPS_GB_RAM!H14</f>
        <v>1</v>
      </c>
      <c r="D43" s="83">
        <f>GlobalChipProd_TFLOPS_GB_RAM!H14</f>
        <v>1</v>
      </c>
      <c r="E43" s="1165">
        <f>GlobalChipProd_TFLOPS_GB_RAM!H18</f>
        <v>3.4320000000000004</v>
      </c>
      <c r="F43" s="660">
        <f>GlobalChipProd_TFLOPS_GB_RAM!H24</f>
        <v>7.1411132812500009</v>
      </c>
      <c r="G43" s="660">
        <f>GlobalChipProd_TFLOPS_GB_RAM!H34</f>
        <v>22.168933355715129</v>
      </c>
      <c r="H43" s="936" t="s">
        <v>45</v>
      </c>
      <c r="I43" s="1183" t="s">
        <v>45</v>
      </c>
      <c r="J43">
        <f t="shared" si="1"/>
        <v>38</v>
      </c>
      <c r="K43" s="8"/>
    </row>
    <row r="44" spans="1:11" x14ac:dyDescent="0.35">
      <c r="A44">
        <f t="shared" si="0"/>
        <v>39</v>
      </c>
      <c r="B44" s="23" t="s">
        <v>3128</v>
      </c>
      <c r="C44" s="996">
        <f>GlobalChipProd_TFLOPS_GB_RAM!M14</f>
        <v>90092.9</v>
      </c>
      <c r="D44" s="2">
        <f>GlobalChipProd_TFLOPS_GB_RAM!M14</f>
        <v>90092.9</v>
      </c>
      <c r="E44" s="997">
        <f>GlobalChipProd_TFLOPS_GB_RAM!M18</f>
        <v>1828327.3597361012</v>
      </c>
      <c r="F44" s="91">
        <f>GlobalChipProd_TFLOPS_GB_RAM!M24</f>
        <v>37836330.568966463</v>
      </c>
      <c r="G44" s="91">
        <f>GlobalChipProd_TFLOPS_GB_RAM!M34</f>
        <v>807627234.31980145</v>
      </c>
      <c r="H44" s="936" t="s">
        <v>45</v>
      </c>
      <c r="I44" s="1183" t="s">
        <v>45</v>
      </c>
      <c r="J44">
        <f t="shared" si="1"/>
        <v>39</v>
      </c>
      <c r="K44" s="8"/>
    </row>
    <row r="45" spans="1:11" x14ac:dyDescent="0.35">
      <c r="A45">
        <f t="shared" si="0"/>
        <v>40</v>
      </c>
      <c r="B45" s="23" t="s">
        <v>3134</v>
      </c>
      <c r="C45" s="1031">
        <f>GlobalChipProd_TFLOPS_GB_RAM!N14</f>
        <v>1</v>
      </c>
      <c r="D45" s="83">
        <f>GlobalChipProd_TFLOPS_GB_RAM!N14</f>
        <v>1</v>
      </c>
      <c r="E45" s="1165">
        <f>GlobalChipProd_TFLOPS_GB_RAM!N18</f>
        <v>20.293800729425968</v>
      </c>
      <c r="F45" s="660">
        <f>GlobalChipProd_TFLOPS_GB_RAM!N24</f>
        <v>419.97017044591149</v>
      </c>
      <c r="G45" s="660">
        <f>GlobalChipProd_TFLOPS_GB_RAM!N34</f>
        <v>8964.3827018533248</v>
      </c>
      <c r="H45" s="936" t="s">
        <v>45</v>
      </c>
      <c r="I45" s="1183" t="s">
        <v>45</v>
      </c>
      <c r="J45">
        <f t="shared" si="1"/>
        <v>40</v>
      </c>
      <c r="K45" s="8"/>
    </row>
    <row r="46" spans="1:11" ht="15" thickBot="1" x14ac:dyDescent="0.4">
      <c r="A46">
        <f t="shared" si="0"/>
        <v>41</v>
      </c>
      <c r="B46" s="23"/>
      <c r="C46" s="1031"/>
      <c r="D46" s="83"/>
      <c r="E46" s="1165"/>
      <c r="F46" s="660"/>
      <c r="G46" s="660"/>
      <c r="H46" s="936"/>
      <c r="I46" s="1183"/>
      <c r="J46">
        <f t="shared" si="1"/>
        <v>41</v>
      </c>
      <c r="K46" s="8"/>
    </row>
    <row r="47" spans="1:11" ht="21.5" thickTop="1" x14ac:dyDescent="0.5">
      <c r="A47">
        <f t="shared" si="0"/>
        <v>42</v>
      </c>
      <c r="B47" s="702" t="s">
        <v>3136</v>
      </c>
      <c r="C47" s="1166"/>
      <c r="D47" s="475"/>
      <c r="E47" s="1167"/>
      <c r="F47" s="475"/>
      <c r="G47" s="475"/>
      <c r="H47" s="1130"/>
      <c r="I47" s="1168"/>
      <c r="J47">
        <f t="shared" si="1"/>
        <v>42</v>
      </c>
      <c r="K47" s="8"/>
    </row>
    <row r="48" spans="1:11" x14ac:dyDescent="0.35">
      <c r="A48">
        <f t="shared" si="0"/>
        <v>43</v>
      </c>
      <c r="B48" s="23" t="s">
        <v>3008</v>
      </c>
      <c r="C48" s="998">
        <f>GlobalChipProd_ElecUse!U15</f>
        <v>1383.6227743332281</v>
      </c>
      <c r="D48" s="185">
        <f>GlobalChipProd_ElecUse!U15</f>
        <v>1383.6227743332281</v>
      </c>
      <c r="E48" s="950">
        <f>GlobalChipProd_ElecUse!U19</f>
        <v>1366.6670763548184</v>
      </c>
      <c r="F48" s="520">
        <f>GlobalChipProd_ElecUse!U25</f>
        <v>1863.6434865633717</v>
      </c>
      <c r="G48" s="520">
        <f>GlobalChipProd_ElecUse!U35</f>
        <v>40856.330686420682</v>
      </c>
      <c r="H48" s="936" t="s">
        <v>45</v>
      </c>
      <c r="I48" s="1183" t="s">
        <v>45</v>
      </c>
      <c r="J48">
        <f t="shared" si="1"/>
        <v>43</v>
      </c>
      <c r="K48" s="8"/>
    </row>
    <row r="49" spans="1:11" x14ac:dyDescent="0.35">
      <c r="A49">
        <f t="shared" si="0"/>
        <v>44</v>
      </c>
      <c r="B49" s="23" t="s">
        <v>3038</v>
      </c>
      <c r="C49" s="1063">
        <f>GlobalChipProd_ElecUse!S15</f>
        <v>4.4999999999999998E-2</v>
      </c>
      <c r="D49" s="188">
        <f>GlobalChipProd_ElecUse!S15</f>
        <v>4.4999999999999998E-2</v>
      </c>
      <c r="E49" s="1064">
        <f>GlobalChipProd_ElecUse!S19</f>
        <v>0.04</v>
      </c>
      <c r="F49" s="650">
        <f>GlobalChipProd_ElecUse!S25</f>
        <v>0.03</v>
      </c>
      <c r="G49" s="650">
        <f>GlobalChipProd_ElecUse!S35</f>
        <v>1.4999999999999999E-2</v>
      </c>
      <c r="H49" s="936" t="s">
        <v>45</v>
      </c>
      <c r="I49" s="1183" t="s">
        <v>45</v>
      </c>
      <c r="J49">
        <f t="shared" si="1"/>
        <v>44</v>
      </c>
      <c r="K49" s="8"/>
    </row>
    <row r="50" spans="1:11" x14ac:dyDescent="0.35">
      <c r="A50">
        <f t="shared" si="0"/>
        <v>45</v>
      </c>
      <c r="B50" s="23" t="s">
        <v>3135</v>
      </c>
      <c r="C50" s="1031">
        <f>GlobalChipProd_ElecUse!V15</f>
        <v>1</v>
      </c>
      <c r="D50" s="83">
        <f>GlobalChipProd_ElecUse!V15</f>
        <v>1</v>
      </c>
      <c r="E50" s="1165">
        <f>GlobalChipProd_ElecUse!V19</f>
        <v>0.98774543300894946</v>
      </c>
      <c r="F50" s="660">
        <f>GlobalChipProd_ElecUse!V25</f>
        <v>1.3469303347232537</v>
      </c>
      <c r="G50" s="660">
        <f>GlobalChipProd_ElecUse!V35</f>
        <v>29.528518498193606</v>
      </c>
      <c r="H50" s="936" t="s">
        <v>45</v>
      </c>
      <c r="I50" s="1183" t="s">
        <v>45</v>
      </c>
      <c r="J50">
        <f t="shared" si="1"/>
        <v>45</v>
      </c>
      <c r="K50" s="8"/>
    </row>
    <row r="51" spans="1:11" x14ac:dyDescent="0.35">
      <c r="A51">
        <f t="shared" si="0"/>
        <v>46</v>
      </c>
      <c r="B51" s="23" t="s">
        <v>3009</v>
      </c>
      <c r="C51" s="992">
        <f>GlobalChipProd_ElecUse!W15</f>
        <v>1.2495194689211155E-2</v>
      </c>
      <c r="D51" s="69">
        <f>GlobalChipProd_ElecUse!W15</f>
        <v>1.2495194689211155E-2</v>
      </c>
      <c r="E51" s="960">
        <f>GlobalChipProd_ElecUse!W19</f>
        <v>1.078268955089929E-2</v>
      </c>
      <c r="F51" s="523">
        <f>GlobalChipProd_ElecUse!W25</f>
        <v>8.0719798047086937E-3</v>
      </c>
      <c r="G51" s="523">
        <f>GlobalChipProd_ElecUse!W35</f>
        <v>4.0359899023543469E-3</v>
      </c>
      <c r="H51" s="936" t="s">
        <v>45</v>
      </c>
      <c r="I51" s="1183" t="s">
        <v>45</v>
      </c>
      <c r="J51">
        <f t="shared" si="1"/>
        <v>46</v>
      </c>
      <c r="K51" s="8"/>
    </row>
    <row r="52" spans="1:11" x14ac:dyDescent="0.35">
      <c r="A52">
        <f t="shared" si="0"/>
        <v>47</v>
      </c>
      <c r="B52" s="23" t="s">
        <v>3039</v>
      </c>
      <c r="C52" s="996">
        <f>GlobalChipProd_ElecUse!M15</f>
        <v>30747.172762960625</v>
      </c>
      <c r="D52" s="2">
        <f>GlobalChipProd_ElecUse!M15</f>
        <v>30747.172762960625</v>
      </c>
      <c r="E52" s="997">
        <f>GlobalChipProd_ElecUse!M19</f>
        <v>34166.67690887046</v>
      </c>
      <c r="F52" s="91">
        <f>GlobalChipProd_ElecUse!M25</f>
        <v>62121.44955211239</v>
      </c>
      <c r="G52" s="91">
        <f>GlobalChipProd_ElecUse!M35</f>
        <v>2723755.379094712</v>
      </c>
      <c r="H52" s="936" t="s">
        <v>45</v>
      </c>
      <c r="I52" s="1183" t="s">
        <v>45</v>
      </c>
      <c r="J52">
        <f t="shared" si="1"/>
        <v>47</v>
      </c>
      <c r="K52" s="8"/>
    </row>
    <row r="53" spans="1:11" x14ac:dyDescent="0.35">
      <c r="A53">
        <f t="shared" si="0"/>
        <v>48</v>
      </c>
      <c r="B53" s="23" t="s">
        <v>3148</v>
      </c>
      <c r="C53" s="1031">
        <f>GlobalChipProd_ElecUse!N15</f>
        <v>1</v>
      </c>
      <c r="D53" s="83">
        <f>GlobalChipProd_ElecUse!N15</f>
        <v>1</v>
      </c>
      <c r="E53" s="1165">
        <f>GlobalChipProd_ElecUse!N19</f>
        <v>1.1112136121350682</v>
      </c>
      <c r="F53" s="660">
        <f>GlobalChipProd_ElecUse!N25</f>
        <v>2.0203955020848809</v>
      </c>
      <c r="G53" s="660">
        <f>GlobalChipProd_ElecUse!N35</f>
        <v>88.585555494580845</v>
      </c>
      <c r="H53" s="936" t="s">
        <v>45</v>
      </c>
      <c r="I53" s="1183" t="s">
        <v>45</v>
      </c>
      <c r="J53">
        <f t="shared" si="1"/>
        <v>48</v>
      </c>
      <c r="K53" s="8"/>
    </row>
    <row r="54" spans="1:11" x14ac:dyDescent="0.35">
      <c r="A54">
        <f t="shared" si="0"/>
        <v>49</v>
      </c>
      <c r="B54" s="23" t="s">
        <v>3149</v>
      </c>
      <c r="C54" s="996">
        <f>GlobalChipProd_ElecUse!J15</f>
        <v>111.07823376623377</v>
      </c>
      <c r="D54" s="2">
        <f>GlobalChipProd_ElecUse!J15</f>
        <v>111.07823376623377</v>
      </c>
      <c r="E54" s="997">
        <f>GlobalChipProd_ElecUse!J19</f>
        <v>1169.2705397429552</v>
      </c>
      <c r="F54" s="91">
        <f>GlobalChipProd_ElecUse!J25</f>
        <v>6920.5429225975622</v>
      </c>
      <c r="G54" s="91">
        <f>GlobalChipProd_ElecUse!J35</f>
        <v>101638.31212054777</v>
      </c>
      <c r="H54" s="936" t="s">
        <v>45</v>
      </c>
      <c r="I54" s="1183" t="s">
        <v>45</v>
      </c>
      <c r="J54">
        <f t="shared" si="1"/>
        <v>49</v>
      </c>
      <c r="K54" s="8"/>
    </row>
    <row r="55" spans="1:11" x14ac:dyDescent="0.35">
      <c r="A55">
        <f t="shared" si="0"/>
        <v>50</v>
      </c>
      <c r="B55" s="23" t="s">
        <v>3150</v>
      </c>
      <c r="C55" s="1031">
        <f>GlobalChipProd_ElecUse!K15</f>
        <v>1</v>
      </c>
      <c r="D55" s="83">
        <f>GlobalChipProd_ElecUse!K15</f>
        <v>1</v>
      </c>
      <c r="E55" s="1165">
        <f>GlobalChipProd_ElecUse!K19</f>
        <v>10.526549622707426</v>
      </c>
      <c r="F55" s="660">
        <f>GlobalChipProd_ElecUse!K25</f>
        <v>62.3033216135033</v>
      </c>
      <c r="G55" s="660">
        <f>GlobalChipProd_ElecUse!K35</f>
        <v>915.01555862373129</v>
      </c>
      <c r="H55" s="936" t="s">
        <v>45</v>
      </c>
      <c r="I55" s="1183" t="s">
        <v>45</v>
      </c>
      <c r="J55">
        <f t="shared" si="1"/>
        <v>50</v>
      </c>
      <c r="K55" s="8"/>
    </row>
    <row r="56" spans="1:11" x14ac:dyDescent="0.35">
      <c r="A56">
        <f t="shared" si="0"/>
        <v>51</v>
      </c>
      <c r="B56" s="23" t="s">
        <v>3151</v>
      </c>
      <c r="C56" s="992">
        <f>GlobalChipProd_ElecUse!P15</f>
        <v>3.6126324401456324E-3</v>
      </c>
      <c r="D56" s="69">
        <f>GlobalChipProd_ElecUse!P15</f>
        <v>3.6126324401456324E-3</v>
      </c>
      <c r="E56" s="960">
        <f>GlobalChipProd_ElecUse!P19</f>
        <v>3.4222542123766957E-2</v>
      </c>
      <c r="F56" s="523">
        <f>GlobalChipProd_ElecUse!P25</f>
        <v>0.11140343589040148</v>
      </c>
      <c r="G56" s="523">
        <f>GlobalChipProd_ElecUse!P35</f>
        <v>3.7315506708362721E-2</v>
      </c>
      <c r="H56" s="936" t="s">
        <v>45</v>
      </c>
      <c r="I56" s="1183" t="s">
        <v>45</v>
      </c>
      <c r="J56">
        <f t="shared" si="1"/>
        <v>51</v>
      </c>
      <c r="K56" s="8"/>
    </row>
    <row r="57" spans="1:11" ht="15" thickBot="1" x14ac:dyDescent="0.4">
      <c r="A57">
        <f t="shared" si="0"/>
        <v>52</v>
      </c>
      <c r="B57" s="27"/>
      <c r="C57" s="488"/>
      <c r="D57" s="85"/>
      <c r="E57" s="895"/>
      <c r="F57" s="175"/>
      <c r="G57" s="175"/>
      <c r="H57" s="175"/>
      <c r="I57" s="737"/>
      <c r="J57">
        <f t="shared" si="1"/>
        <v>52</v>
      </c>
      <c r="K57" s="8"/>
    </row>
    <row r="58" spans="1:11" ht="15" thickTop="1" x14ac:dyDescent="0.35">
      <c r="B58" s="199" t="s">
        <v>2496</v>
      </c>
    </row>
    <row r="60" spans="1:11" x14ac:dyDescent="0.35">
      <c r="B60" s="8" t="s">
        <v>2937</v>
      </c>
    </row>
    <row r="61" spans="1:11" x14ac:dyDescent="0.35">
      <c r="B61" t="s">
        <v>2938</v>
      </c>
      <c r="C61" s="185">
        <f>40000/6</f>
        <v>6666.666666666667</v>
      </c>
    </row>
    <row r="62" spans="1:11" x14ac:dyDescent="0.35">
      <c r="B62" t="s">
        <v>2939</v>
      </c>
      <c r="C62" s="185">
        <f>((200*8000)/1000)*0.1</f>
        <v>160</v>
      </c>
    </row>
    <row r="63" spans="1:11" x14ac:dyDescent="0.35">
      <c r="B63" t="s">
        <v>2940</v>
      </c>
      <c r="C63" s="185">
        <v>4000</v>
      </c>
    </row>
    <row r="64" spans="1:11" x14ac:dyDescent="0.35">
      <c r="B64" t="s">
        <v>2941</v>
      </c>
      <c r="C64" s="185">
        <v>4000</v>
      </c>
    </row>
    <row r="65" spans="1:11" x14ac:dyDescent="0.35">
      <c r="B65" s="8" t="s">
        <v>2942</v>
      </c>
      <c r="C65" s="1018">
        <f>SUM(C61:C64)</f>
        <v>14826.666666666668</v>
      </c>
    </row>
    <row r="66" spans="1:11" ht="24" thickBot="1" x14ac:dyDescent="0.6">
      <c r="B66" s="801" t="s">
        <v>38</v>
      </c>
      <c r="C66" s="85"/>
      <c r="D66" s="85"/>
      <c r="E66" s="85"/>
      <c r="F66" s="85"/>
      <c r="G66" s="85"/>
      <c r="H66" s="85"/>
      <c r="I66" s="85"/>
    </row>
    <row r="67" spans="1:11" ht="21.5" thickTop="1" x14ac:dyDescent="0.5">
      <c r="A67">
        <v>1</v>
      </c>
      <c r="B67" s="784" t="str">
        <f t="shared" ref="B67:I69" si="2">B6</f>
        <v>Type of life form</v>
      </c>
      <c r="C67" s="1065" t="str">
        <f t="shared" si="2"/>
        <v>Humans (Homo sapiens)</v>
      </c>
      <c r="D67" s="1065" t="str">
        <f t="shared" si="2"/>
        <v>Current AIs &amp; androids =</v>
      </c>
      <c r="E67" s="1066" t="str">
        <f t="shared" si="2"/>
        <v>First weak AGIs =</v>
      </c>
      <c r="F67" s="1066" t="str">
        <f t="shared" si="2"/>
        <v>First strong AGIs =</v>
      </c>
      <c r="G67" s="1066" t="str">
        <f t="shared" si="2"/>
        <v>Artificial super humans =</v>
      </c>
      <c r="H67" s="1066" t="str">
        <f t="shared" si="2"/>
        <v>Biological super humans =</v>
      </c>
      <c r="I67" s="1068" t="str">
        <f t="shared" si="2"/>
        <v>Hybrid super humans =</v>
      </c>
      <c r="J67">
        <v>1</v>
      </c>
      <c r="K67" s="8"/>
    </row>
    <row r="68" spans="1:11" x14ac:dyDescent="0.35">
      <c r="A68">
        <f t="shared" ref="A68:A118" si="3">A67+1</f>
        <v>2</v>
      </c>
      <c r="B68" s="1020" t="str">
        <f t="shared" si="2"/>
        <v>Level of cognitive intelligence relative to human</v>
      </c>
      <c r="C68" s="487" t="str">
        <f t="shared" si="2"/>
        <v>Human level intelligence +</v>
      </c>
      <c r="D68" s="487" t="str">
        <f t="shared" si="2"/>
        <v xml:space="preserve">Sub-human level AGI + </v>
      </c>
      <c r="E68" s="1" t="str">
        <f t="shared" si="2"/>
        <v>Human level AGI +</v>
      </c>
      <c r="F68" s="1" t="str">
        <f t="shared" si="2"/>
        <v>Super human AGI +</v>
      </c>
      <c r="G68" s="1" t="str">
        <f t="shared" si="2"/>
        <v>Ultra human AGI +</v>
      </c>
      <c r="H68" s="1" t="str">
        <f t="shared" si="2"/>
        <v xml:space="preserve">Super human intelligence + </v>
      </c>
      <c r="I68" s="738" t="str">
        <f t="shared" si="2"/>
        <v xml:space="preserve">Ultra human hybrid intelligence + </v>
      </c>
      <c r="J68">
        <f t="shared" ref="J68:J118" si="4">J67+1</f>
        <v>2</v>
      </c>
      <c r="K68" s="8"/>
    </row>
    <row r="69" spans="1:11" x14ac:dyDescent="0.35">
      <c r="A69">
        <f t="shared" si="3"/>
        <v>3</v>
      </c>
      <c r="B69" s="1020" t="str">
        <f t="shared" si="2"/>
        <v>Level of bodily agility and physical intelligence relative to human</v>
      </c>
      <c r="C69" s="487" t="str">
        <f t="shared" si="2"/>
        <v>Human level body</v>
      </c>
      <c r="D69" s="487" t="str">
        <f t="shared" si="2"/>
        <v>Very sub-human level android</v>
      </c>
      <c r="E69" s="1" t="str">
        <f t="shared" si="2"/>
        <v>Sub-human level android</v>
      </c>
      <c r="F69" s="1" t="str">
        <f t="shared" si="2"/>
        <v>Human level android</v>
      </c>
      <c r="G69" s="1" t="str">
        <f t="shared" si="2"/>
        <v>Super human android</v>
      </c>
      <c r="H69" s="1" t="str">
        <f t="shared" si="2"/>
        <v>Super human body</v>
      </c>
      <c r="I69" s="738" t="str">
        <f t="shared" si="2"/>
        <v>Super human hybrid body</v>
      </c>
      <c r="J69">
        <f t="shared" si="4"/>
        <v>3</v>
      </c>
      <c r="K69" s="8" t="s">
        <v>32</v>
      </c>
    </row>
    <row r="70" spans="1:11" ht="15" thickBot="1" x14ac:dyDescent="0.4">
      <c r="A70">
        <f t="shared" si="3"/>
        <v>4</v>
      </c>
      <c r="B70" s="1021" t="str">
        <f t="shared" ref="B70:B88" si="5">B9</f>
        <v>First appearance of life form in Earth history and future (quoted year)</v>
      </c>
      <c r="C70" s="796" t="s">
        <v>143</v>
      </c>
      <c r="D70" s="488" t="s">
        <v>45</v>
      </c>
      <c r="E70" s="175" t="s">
        <v>2497</v>
      </c>
      <c r="F70" s="175" t="s">
        <v>2500</v>
      </c>
      <c r="G70" s="175" t="s">
        <v>2498</v>
      </c>
      <c r="H70" s="175" t="s">
        <v>1667</v>
      </c>
      <c r="I70" s="737" t="s">
        <v>1667</v>
      </c>
      <c r="J70">
        <f t="shared" si="4"/>
        <v>4</v>
      </c>
      <c r="K70" s="8"/>
    </row>
    <row r="71" spans="1:11" ht="21.5" thickTop="1" x14ac:dyDescent="0.5">
      <c r="A71">
        <f t="shared" si="3"/>
        <v>5</v>
      </c>
      <c r="B71" s="699" t="str">
        <f t="shared" si="5"/>
        <v>Max Tegmark's classification system for life forms</v>
      </c>
      <c r="C71" s="1076" t="s">
        <v>1516</v>
      </c>
      <c r="D71" s="1076" t="s">
        <v>1516</v>
      </c>
      <c r="E71" s="204" t="s">
        <v>1516</v>
      </c>
      <c r="F71" s="204" t="s">
        <v>1516</v>
      </c>
      <c r="G71" s="1180" t="s">
        <v>1516</v>
      </c>
      <c r="H71" s="1180"/>
      <c r="I71" s="1078"/>
      <c r="J71">
        <f t="shared" si="4"/>
        <v>5</v>
      </c>
      <c r="K71" s="8"/>
    </row>
    <row r="72" spans="1:11" x14ac:dyDescent="0.35">
      <c r="A72">
        <f t="shared" si="3"/>
        <v>6</v>
      </c>
      <c r="B72" s="23" t="str">
        <f t="shared" si="5"/>
        <v>Can life form survive and replicate on its own? (Max Tegmark's 1st criteria for life type)</v>
      </c>
      <c r="C72" s="804"/>
      <c r="D72" s="805"/>
      <c r="E72" s="885"/>
      <c r="F72" s="1075"/>
      <c r="G72" s="807" t="s">
        <v>45</v>
      </c>
      <c r="H72" s="807"/>
      <c r="I72" s="727"/>
      <c r="J72">
        <f t="shared" si="4"/>
        <v>6</v>
      </c>
      <c r="K72" s="132"/>
    </row>
    <row r="73" spans="1:11" x14ac:dyDescent="0.35">
      <c r="A73">
        <f t="shared" si="3"/>
        <v>7</v>
      </c>
      <c r="B73" s="23" t="str">
        <f t="shared" si="5"/>
        <v>Can life form learn, that is, design its own software aka mind? (Max Tegmark's 2nd criteria for life type)</v>
      </c>
      <c r="C73" s="804"/>
      <c r="D73" s="1082"/>
      <c r="E73" s="1075" t="s">
        <v>45</v>
      </c>
      <c r="F73" s="1075"/>
      <c r="G73" s="807" t="s">
        <v>45</v>
      </c>
      <c r="H73" s="807"/>
      <c r="I73" s="727"/>
      <c r="J73">
        <f t="shared" si="4"/>
        <v>7</v>
      </c>
      <c r="K73" s="132"/>
    </row>
    <row r="74" spans="1:11" ht="15" thickBot="1" x14ac:dyDescent="0.4">
      <c r="A74">
        <f t="shared" si="3"/>
        <v>8</v>
      </c>
      <c r="B74" s="23" t="str">
        <f t="shared" si="5"/>
        <v>Can life form build its own body aka hardware? (Max Tegmark's 3rd criteria for life type)</v>
      </c>
      <c r="C74" s="1081"/>
      <c r="D74" s="720"/>
      <c r="E74" s="349"/>
      <c r="F74" s="889"/>
      <c r="G74" s="1075"/>
      <c r="H74" s="1075"/>
      <c r="I74" s="1185"/>
      <c r="J74">
        <f t="shared" si="4"/>
        <v>8</v>
      </c>
    </row>
    <row r="75" spans="1:11" ht="21.5" thickTop="1" x14ac:dyDescent="0.5">
      <c r="A75">
        <f t="shared" si="3"/>
        <v>9</v>
      </c>
      <c r="B75" s="702" t="str">
        <f t="shared" si="5"/>
        <v>Impact on labor market</v>
      </c>
      <c r="C75" s="909"/>
      <c r="D75" s="872"/>
      <c r="E75" s="461"/>
      <c r="F75" s="461"/>
      <c r="G75" s="461"/>
      <c r="H75" s="461"/>
      <c r="I75" s="499"/>
      <c r="J75">
        <f t="shared" si="4"/>
        <v>9</v>
      </c>
      <c r="K75" s="8"/>
    </row>
    <row r="76" spans="1:11" x14ac:dyDescent="0.35">
      <c r="A76">
        <f t="shared" si="3"/>
        <v>10</v>
      </c>
      <c r="B76" s="23" t="str">
        <f t="shared" si="5"/>
        <v>The % of pure cognitive jobs that potentially can be done by life form in quoted year</v>
      </c>
      <c r="C76" s="791" t="s">
        <v>45</v>
      </c>
      <c r="D76" s="487" t="s">
        <v>2289</v>
      </c>
      <c r="E76" s="1" t="s">
        <v>45</v>
      </c>
      <c r="F76" s="1"/>
      <c r="G76" s="1"/>
      <c r="H76" s="1"/>
      <c r="I76" s="738"/>
      <c r="J76">
        <f t="shared" si="4"/>
        <v>10</v>
      </c>
      <c r="K76" s="8"/>
    </row>
    <row r="77" spans="1:11" x14ac:dyDescent="0.35">
      <c r="A77">
        <f t="shared" si="3"/>
        <v>11</v>
      </c>
      <c r="B77" s="23" t="str">
        <f t="shared" si="5"/>
        <v>The % of jobs with physical element that potentially can be done by life form in quoted year</v>
      </c>
      <c r="C77" s="791" t="s">
        <v>45</v>
      </c>
      <c r="D77" s="786" t="s">
        <v>2782</v>
      </c>
      <c r="E77" s="1" t="s">
        <v>45</v>
      </c>
      <c r="F77" s="1"/>
      <c r="G77" s="1"/>
      <c r="H77" s="1"/>
      <c r="I77" s="738"/>
      <c r="J77">
        <f t="shared" si="4"/>
        <v>11</v>
      </c>
      <c r="K77" s="8"/>
    </row>
    <row r="78" spans="1:11" x14ac:dyDescent="0.35">
      <c r="A78">
        <f t="shared" si="3"/>
        <v>12</v>
      </c>
      <c r="B78" s="23" t="str">
        <f t="shared" si="5"/>
        <v>Global population of humans in quoted year</v>
      </c>
      <c r="C78" s="791" t="s">
        <v>45</v>
      </c>
      <c r="D78" s="487" t="s">
        <v>225</v>
      </c>
      <c r="E78" s="1" t="s">
        <v>225</v>
      </c>
      <c r="F78" s="1" t="s">
        <v>225</v>
      </c>
      <c r="G78" s="1" t="s">
        <v>225</v>
      </c>
      <c r="H78" s="580" t="s">
        <v>45</v>
      </c>
      <c r="I78" s="659" t="s">
        <v>45</v>
      </c>
      <c r="J78">
        <f t="shared" si="4"/>
        <v>12</v>
      </c>
      <c r="K78" s="8"/>
    </row>
    <row r="79" spans="1:11" x14ac:dyDescent="0.35">
      <c r="A79">
        <f t="shared" si="3"/>
        <v>13</v>
      </c>
      <c r="B79" s="23" t="str">
        <f t="shared" si="5"/>
        <v>Annual growth in human population in quoted year</v>
      </c>
      <c r="C79" s="791"/>
      <c r="D79" s="487"/>
      <c r="E79" s="1"/>
      <c r="F79" s="1"/>
      <c r="G79" s="1"/>
      <c r="H79" s="580"/>
      <c r="I79" s="659"/>
      <c r="J79">
        <f t="shared" si="4"/>
        <v>13</v>
      </c>
      <c r="K79" s="8"/>
    </row>
    <row r="80" spans="1:11" x14ac:dyDescent="0.35">
      <c r="A80">
        <f t="shared" si="3"/>
        <v>14</v>
      </c>
      <c r="B80" s="23" t="str">
        <f t="shared" si="5"/>
        <v>Global population of androids in quoted year (6 years rolling)</v>
      </c>
      <c r="C80" s="791" t="s">
        <v>45</v>
      </c>
      <c r="D80" s="487" t="s">
        <v>225</v>
      </c>
      <c r="E80" s="1" t="s">
        <v>225</v>
      </c>
      <c r="F80" s="1" t="s">
        <v>225</v>
      </c>
      <c r="G80" s="1" t="s">
        <v>225</v>
      </c>
      <c r="H80" s="580" t="s">
        <v>45</v>
      </c>
      <c r="I80" s="659" t="s">
        <v>45</v>
      </c>
      <c r="J80">
        <f t="shared" si="4"/>
        <v>14</v>
      </c>
      <c r="K80" s="8"/>
    </row>
    <row r="81" spans="1:11" x14ac:dyDescent="0.35">
      <c r="A81">
        <f t="shared" si="3"/>
        <v>15</v>
      </c>
      <c r="B81" s="23" t="str">
        <f t="shared" si="5"/>
        <v>Annual growth in android population in quoted year</v>
      </c>
      <c r="C81" s="791"/>
      <c r="D81" s="487"/>
      <c r="E81" s="1"/>
      <c r="F81" s="1"/>
      <c r="G81" s="1"/>
      <c r="H81" s="580"/>
      <c r="I81" s="659"/>
      <c r="J81">
        <f t="shared" si="4"/>
        <v>15</v>
      </c>
      <c r="K81" s="8"/>
    </row>
    <row r="82" spans="1:11" x14ac:dyDescent="0.35">
      <c r="A82">
        <f t="shared" si="3"/>
        <v>16</v>
      </c>
      <c r="B82" s="23" t="str">
        <f t="shared" si="5"/>
        <v>Work hours per year for working life form</v>
      </c>
      <c r="C82" s="791" t="s">
        <v>45</v>
      </c>
      <c r="D82" s="487" t="s">
        <v>225</v>
      </c>
      <c r="E82" s="1" t="s">
        <v>225</v>
      </c>
      <c r="F82" s="1" t="s">
        <v>225</v>
      </c>
      <c r="G82" s="1" t="s">
        <v>225</v>
      </c>
      <c r="H82" s="580" t="s">
        <v>45</v>
      </c>
      <c r="I82" s="659" t="s">
        <v>45</v>
      </c>
      <c r="J82">
        <f t="shared" si="4"/>
        <v>16</v>
      </c>
      <c r="K82" s="8"/>
    </row>
    <row r="83" spans="1:11" x14ac:dyDescent="0.35">
      <c r="A83">
        <f t="shared" si="3"/>
        <v>17</v>
      </c>
      <c r="B83" s="23" t="str">
        <f t="shared" si="5"/>
        <v>Percentage of population of life form that work</v>
      </c>
      <c r="C83" s="791" t="s">
        <v>45</v>
      </c>
      <c r="D83" s="487" t="s">
        <v>225</v>
      </c>
      <c r="E83" s="1" t="s">
        <v>225</v>
      </c>
      <c r="F83" s="1" t="s">
        <v>225</v>
      </c>
      <c r="G83" s="1" t="s">
        <v>225</v>
      </c>
      <c r="H83" s="580" t="s">
        <v>45</v>
      </c>
      <c r="I83" s="659" t="s">
        <v>45</v>
      </c>
      <c r="J83">
        <f t="shared" si="4"/>
        <v>17</v>
      </c>
      <c r="K83" s="8"/>
    </row>
    <row r="84" spans="1:11" x14ac:dyDescent="0.35">
      <c r="A84">
        <f t="shared" si="3"/>
        <v>18</v>
      </c>
      <c r="B84" s="23" t="str">
        <f t="shared" si="5"/>
        <v>Android GDP hourly productivity to human GDP hourly productivity in quoted year</v>
      </c>
      <c r="C84" s="791" t="s">
        <v>45</v>
      </c>
      <c r="D84" s="487" t="s">
        <v>225</v>
      </c>
      <c r="E84" s="1" t="s">
        <v>225</v>
      </c>
      <c r="F84" s="1" t="s">
        <v>225</v>
      </c>
      <c r="G84" s="1" t="s">
        <v>225</v>
      </c>
      <c r="H84" s="580" t="s">
        <v>45</v>
      </c>
      <c r="I84" s="659" t="s">
        <v>45</v>
      </c>
      <c r="J84">
        <f t="shared" si="4"/>
        <v>18</v>
      </c>
      <c r="K84" s="8"/>
    </row>
    <row r="85" spans="1:11" x14ac:dyDescent="0.35">
      <c r="A85">
        <f t="shared" si="3"/>
        <v>19</v>
      </c>
      <c r="B85" s="23" t="str">
        <f t="shared" si="5"/>
        <v>Average global GDP generation per hour of work by life form in quoted year</v>
      </c>
      <c r="C85" s="791" t="s">
        <v>45</v>
      </c>
      <c r="D85" s="487" t="s">
        <v>225</v>
      </c>
      <c r="E85" s="1" t="s">
        <v>225</v>
      </c>
      <c r="F85" s="1" t="s">
        <v>225</v>
      </c>
      <c r="G85" s="1" t="s">
        <v>225</v>
      </c>
      <c r="H85" s="580" t="s">
        <v>45</v>
      </c>
      <c r="I85" s="659" t="s">
        <v>45</v>
      </c>
      <c r="J85">
        <f t="shared" si="4"/>
        <v>19</v>
      </c>
      <c r="K85" s="8"/>
    </row>
    <row r="86" spans="1:11" x14ac:dyDescent="0.35">
      <c r="A86">
        <f t="shared" si="3"/>
        <v>20</v>
      </c>
      <c r="B86" s="23" t="str">
        <f t="shared" si="5"/>
        <v>Average global GDP generation annually by one life form in quoted year</v>
      </c>
      <c r="C86" s="791" t="s">
        <v>45</v>
      </c>
      <c r="D86" s="487" t="s">
        <v>225</v>
      </c>
      <c r="E86" s="1" t="s">
        <v>225</v>
      </c>
      <c r="F86" s="1" t="s">
        <v>225</v>
      </c>
      <c r="G86" s="1" t="s">
        <v>225</v>
      </c>
      <c r="H86" s="580" t="s">
        <v>45</v>
      </c>
      <c r="I86" s="659" t="s">
        <v>45</v>
      </c>
      <c r="J86">
        <f t="shared" si="4"/>
        <v>20</v>
      </c>
      <c r="K86" s="8"/>
    </row>
    <row r="87" spans="1:11" x14ac:dyDescent="0.35">
      <c r="A87">
        <f t="shared" si="3"/>
        <v>21</v>
      </c>
      <c r="B87" s="23" t="str">
        <f t="shared" si="5"/>
        <v>Annual cost in USD to operate one android (capital cost, maintanance, electricity incl. cost of datacenter services)</v>
      </c>
      <c r="C87" s="791" t="s">
        <v>45</v>
      </c>
      <c r="D87" s="487" t="s">
        <v>225</v>
      </c>
      <c r="E87" s="1" t="s">
        <v>225</v>
      </c>
      <c r="F87" s="1" t="s">
        <v>225</v>
      </c>
      <c r="G87" s="1" t="s">
        <v>225</v>
      </c>
      <c r="H87" s="580" t="s">
        <v>45</v>
      </c>
      <c r="I87" s="659" t="s">
        <v>45</v>
      </c>
      <c r="J87">
        <f t="shared" si="4"/>
        <v>21</v>
      </c>
      <c r="K87" s="8"/>
    </row>
    <row r="88" spans="1:11" x14ac:dyDescent="0.35">
      <c r="A88">
        <f t="shared" si="3"/>
        <v>22</v>
      </c>
      <c r="B88" s="23" t="str">
        <f t="shared" si="5"/>
        <v>GDP creation of one android to GDP of one human in quoted year</v>
      </c>
      <c r="C88" s="791" t="s">
        <v>45</v>
      </c>
      <c r="D88" s="487" t="s">
        <v>225</v>
      </c>
      <c r="E88" s="1" t="s">
        <v>225</v>
      </c>
      <c r="F88" s="1" t="s">
        <v>225</v>
      </c>
      <c r="G88" s="1" t="s">
        <v>225</v>
      </c>
      <c r="H88" s="580" t="s">
        <v>45</v>
      </c>
      <c r="I88" s="659" t="s">
        <v>45</v>
      </c>
      <c r="J88">
        <f t="shared" si="4"/>
        <v>22</v>
      </c>
      <c r="K88" s="8"/>
    </row>
    <row r="89" spans="1:11" ht="15" thickBot="1" x14ac:dyDescent="0.4">
      <c r="A89">
        <f t="shared" si="3"/>
        <v>23</v>
      </c>
      <c r="B89" s="23"/>
      <c r="C89" s="791"/>
      <c r="D89" s="487"/>
      <c r="E89" s="1"/>
      <c r="F89" s="1"/>
      <c r="G89" s="1"/>
      <c r="H89" s="580"/>
      <c r="I89" s="659"/>
      <c r="J89">
        <f t="shared" si="4"/>
        <v>23</v>
      </c>
      <c r="K89" s="8"/>
    </row>
    <row r="90" spans="1:11" ht="21.5" thickTop="1" x14ac:dyDescent="0.5">
      <c r="A90">
        <f t="shared" si="3"/>
        <v>24</v>
      </c>
      <c r="B90" s="702" t="str">
        <f t="shared" ref="B90:B100" si="6">B29</f>
        <v>Impact on economy</v>
      </c>
      <c r="C90" s="1198"/>
      <c r="D90" s="1199"/>
      <c r="E90" s="1200"/>
      <c r="F90" s="1200"/>
      <c r="G90" s="1200"/>
      <c r="H90" s="1201"/>
      <c r="I90" s="1202"/>
      <c r="J90">
        <f t="shared" si="4"/>
        <v>24</v>
      </c>
      <c r="K90" s="8"/>
    </row>
    <row r="91" spans="1:11" x14ac:dyDescent="0.35">
      <c r="A91">
        <f t="shared" si="3"/>
        <v>25</v>
      </c>
      <c r="B91" s="23" t="str">
        <f t="shared" si="6"/>
        <v>The % of global GDP done by humans assuming all humans keep working in quoted year</v>
      </c>
      <c r="C91" s="791" t="s">
        <v>45</v>
      </c>
      <c r="D91" s="487" t="s">
        <v>135</v>
      </c>
      <c r="E91" s="1" t="s">
        <v>135</v>
      </c>
      <c r="F91" s="1" t="s">
        <v>135</v>
      </c>
      <c r="G91" s="1" t="s">
        <v>135</v>
      </c>
      <c r="H91" s="580" t="s">
        <v>45</v>
      </c>
      <c r="I91" s="659" t="s">
        <v>45</v>
      </c>
      <c r="J91">
        <f t="shared" si="4"/>
        <v>25</v>
      </c>
      <c r="K91" s="8"/>
    </row>
    <row r="92" spans="1:11" x14ac:dyDescent="0.35">
      <c r="A92">
        <f t="shared" si="3"/>
        <v>26</v>
      </c>
      <c r="B92" s="23" t="str">
        <f t="shared" si="6"/>
        <v>The % of global GDP generated by androids in quoted year</v>
      </c>
      <c r="C92" s="791" t="s">
        <v>45</v>
      </c>
      <c r="D92" s="487" t="s">
        <v>225</v>
      </c>
      <c r="E92" s="1" t="s">
        <v>225</v>
      </c>
      <c r="F92" s="1" t="s">
        <v>225</v>
      </c>
      <c r="G92" s="1" t="s">
        <v>225</v>
      </c>
      <c r="H92" s="580" t="s">
        <v>45</v>
      </c>
      <c r="I92" s="659" t="s">
        <v>45</v>
      </c>
      <c r="J92">
        <f t="shared" si="4"/>
        <v>26</v>
      </c>
      <c r="K92" s="8"/>
    </row>
    <row r="93" spans="1:11" x14ac:dyDescent="0.35">
      <c r="A93">
        <f t="shared" si="3"/>
        <v>27</v>
      </c>
      <c r="B93" s="23" t="str">
        <f t="shared" si="6"/>
        <v>Annual GDP growth in human based global GDP in quoted year (humans aided by cognitive AGI, no androids)</v>
      </c>
      <c r="C93" s="791" t="s">
        <v>45</v>
      </c>
      <c r="D93" s="487" t="s">
        <v>225</v>
      </c>
      <c r="E93" s="1" t="s">
        <v>225</v>
      </c>
      <c r="F93" s="1" t="s">
        <v>225</v>
      </c>
      <c r="G93" s="1" t="s">
        <v>225</v>
      </c>
      <c r="H93" s="580" t="s">
        <v>45</v>
      </c>
      <c r="I93" s="659" t="s">
        <v>45</v>
      </c>
      <c r="J93">
        <f t="shared" si="4"/>
        <v>27</v>
      </c>
      <c r="K93" s="8"/>
    </row>
    <row r="94" spans="1:11" x14ac:dyDescent="0.35">
      <c r="A94">
        <f t="shared" si="3"/>
        <v>28</v>
      </c>
      <c r="B94" s="23" t="str">
        <f t="shared" si="6"/>
        <v>Annual GDP growth in android based global GDP in quoted year (no aid from humans after 2029)</v>
      </c>
      <c r="C94" s="791" t="s">
        <v>45</v>
      </c>
      <c r="D94" s="487" t="s">
        <v>225</v>
      </c>
      <c r="E94" s="1" t="s">
        <v>225</v>
      </c>
      <c r="F94" s="1" t="s">
        <v>225</v>
      </c>
      <c r="G94" s="1" t="s">
        <v>225</v>
      </c>
      <c r="H94" s="580" t="s">
        <v>45</v>
      </c>
      <c r="I94" s="659" t="s">
        <v>45</v>
      </c>
      <c r="J94">
        <f t="shared" si="4"/>
        <v>28</v>
      </c>
      <c r="K94" s="8"/>
    </row>
    <row r="95" spans="1:11" x14ac:dyDescent="0.35">
      <c r="A95">
        <f t="shared" si="3"/>
        <v>29</v>
      </c>
      <c r="B95" s="23" t="str">
        <f t="shared" si="6"/>
        <v>Predicted human based global GDP in quoted year in billion USD</v>
      </c>
      <c r="C95" s="791" t="s">
        <v>45</v>
      </c>
      <c r="D95" s="487" t="s">
        <v>225</v>
      </c>
      <c r="E95" s="1" t="s">
        <v>225</v>
      </c>
      <c r="F95" s="1" t="s">
        <v>225</v>
      </c>
      <c r="G95" s="1" t="s">
        <v>225</v>
      </c>
      <c r="H95" s="580" t="s">
        <v>45</v>
      </c>
      <c r="I95" s="659" t="s">
        <v>45</v>
      </c>
      <c r="J95">
        <f t="shared" si="4"/>
        <v>29</v>
      </c>
      <c r="K95" s="8"/>
    </row>
    <row r="96" spans="1:11" x14ac:dyDescent="0.35">
      <c r="A96">
        <f t="shared" si="3"/>
        <v>30</v>
      </c>
      <c r="B96" s="23" t="str">
        <f t="shared" si="6"/>
        <v>Indexed growth in human only generated GDP with year 2025 set to 1. Reported for quoted year</v>
      </c>
      <c r="C96" s="791" t="s">
        <v>45</v>
      </c>
      <c r="D96" s="487" t="s">
        <v>225</v>
      </c>
      <c r="E96" s="1" t="s">
        <v>225</v>
      </c>
      <c r="F96" s="1" t="s">
        <v>225</v>
      </c>
      <c r="G96" s="1" t="s">
        <v>225</v>
      </c>
      <c r="H96" s="580" t="s">
        <v>45</v>
      </c>
      <c r="I96" s="659" t="s">
        <v>45</v>
      </c>
      <c r="J96">
        <f t="shared" si="4"/>
        <v>30</v>
      </c>
      <c r="K96" s="8"/>
    </row>
    <row r="97" spans="1:11" x14ac:dyDescent="0.35">
      <c r="A97">
        <f t="shared" si="3"/>
        <v>31</v>
      </c>
      <c r="B97" s="23" t="str">
        <f t="shared" si="6"/>
        <v>Predicted android based global GDP in quoted year in billion USD</v>
      </c>
      <c r="C97" s="791" t="s">
        <v>45</v>
      </c>
      <c r="D97" s="487" t="s">
        <v>225</v>
      </c>
      <c r="E97" s="1" t="s">
        <v>225</v>
      </c>
      <c r="F97" s="1" t="s">
        <v>225</v>
      </c>
      <c r="G97" s="1" t="s">
        <v>225</v>
      </c>
      <c r="H97" s="580" t="s">
        <v>45</v>
      </c>
      <c r="I97" s="659" t="s">
        <v>45</v>
      </c>
      <c r="J97">
        <f t="shared" si="4"/>
        <v>31</v>
      </c>
      <c r="K97" s="8"/>
    </row>
    <row r="98" spans="1:11" x14ac:dyDescent="0.35">
      <c r="A98">
        <f t="shared" si="3"/>
        <v>32</v>
      </c>
      <c r="B98" s="23" t="str">
        <f t="shared" si="6"/>
        <v>Total global GDP generated by humans plus androids in billion USD</v>
      </c>
      <c r="C98" s="791" t="s">
        <v>45</v>
      </c>
      <c r="D98" s="487" t="s">
        <v>225</v>
      </c>
      <c r="E98" s="1" t="s">
        <v>225</v>
      </c>
      <c r="F98" s="1" t="s">
        <v>225</v>
      </c>
      <c r="G98" s="1" t="s">
        <v>225</v>
      </c>
      <c r="H98" s="580" t="s">
        <v>45</v>
      </c>
      <c r="I98" s="659" t="s">
        <v>45</v>
      </c>
      <c r="J98">
        <f t="shared" si="4"/>
        <v>32</v>
      </c>
      <c r="K98" s="8"/>
    </row>
    <row r="99" spans="1:11" x14ac:dyDescent="0.35">
      <c r="A99">
        <f t="shared" si="3"/>
        <v>33</v>
      </c>
      <c r="B99" s="23" t="str">
        <f t="shared" si="6"/>
        <v>Indexed growth in human + android generated GDP with year 2025 set to 1. Reported for quoted year</v>
      </c>
      <c r="C99" s="791" t="s">
        <v>45</v>
      </c>
      <c r="D99" s="487" t="s">
        <v>225</v>
      </c>
      <c r="E99" s="1" t="s">
        <v>225</v>
      </c>
      <c r="F99" s="1" t="s">
        <v>225</v>
      </c>
      <c r="G99" s="1" t="s">
        <v>225</v>
      </c>
      <c r="H99" s="580" t="s">
        <v>45</v>
      </c>
      <c r="I99" s="659" t="s">
        <v>45</v>
      </c>
      <c r="J99">
        <f t="shared" si="4"/>
        <v>33</v>
      </c>
      <c r="K99" s="8"/>
    </row>
    <row r="100" spans="1:11" x14ac:dyDescent="0.35">
      <c r="A100">
        <f t="shared" si="3"/>
        <v>34</v>
      </c>
      <c r="B100" s="23" t="str">
        <f t="shared" si="6"/>
        <v>Global sales in billion USD of androids assuming 40k USD for each in quoted year</v>
      </c>
      <c r="C100" s="791" t="s">
        <v>45</v>
      </c>
      <c r="D100" s="487" t="s">
        <v>225</v>
      </c>
      <c r="E100" s="1" t="s">
        <v>225</v>
      </c>
      <c r="F100" s="1" t="s">
        <v>225</v>
      </c>
      <c r="G100" s="1" t="s">
        <v>225</v>
      </c>
      <c r="H100" s="580" t="s">
        <v>45</v>
      </c>
      <c r="I100" s="659" t="s">
        <v>45</v>
      </c>
      <c r="J100">
        <f t="shared" si="4"/>
        <v>34</v>
      </c>
      <c r="K100" s="8"/>
    </row>
    <row r="101" spans="1:11" ht="15" thickBot="1" x14ac:dyDescent="0.4">
      <c r="A101">
        <f t="shared" si="3"/>
        <v>35</v>
      </c>
      <c r="B101" s="23"/>
      <c r="C101" s="791"/>
      <c r="D101" s="487"/>
      <c r="E101" s="1"/>
      <c r="F101" s="1"/>
      <c r="G101" s="1"/>
      <c r="H101" s="580"/>
      <c r="I101" s="659"/>
      <c r="J101">
        <f t="shared" si="4"/>
        <v>35</v>
      </c>
      <c r="K101" s="8"/>
    </row>
    <row r="102" spans="1:11" ht="21.5" thickTop="1" x14ac:dyDescent="0.5">
      <c r="A102">
        <f t="shared" si="3"/>
        <v>36</v>
      </c>
      <c r="B102" s="702" t="str">
        <f>B41</f>
        <v>Impact on global AI chip industry</v>
      </c>
      <c r="C102" s="1198"/>
      <c r="D102" s="1199"/>
      <c r="E102" s="1200"/>
      <c r="F102" s="1200"/>
      <c r="G102" s="1200"/>
      <c r="H102" s="1201"/>
      <c r="I102" s="1202"/>
      <c r="J102">
        <f t="shared" si="4"/>
        <v>36</v>
      </c>
      <c r="K102" s="8"/>
    </row>
    <row r="103" spans="1:11" x14ac:dyDescent="0.35">
      <c r="A103">
        <f t="shared" si="3"/>
        <v>37</v>
      </c>
      <c r="B103" s="23" t="str">
        <f>B42</f>
        <v>Global sales in billion USD of AI chips for training and inference in quoted year</v>
      </c>
      <c r="C103" s="791" t="s">
        <v>45</v>
      </c>
      <c r="D103" s="487" t="s">
        <v>225</v>
      </c>
      <c r="E103" s="1" t="s">
        <v>225</v>
      </c>
      <c r="F103" s="1" t="s">
        <v>225</v>
      </c>
      <c r="G103" s="1" t="s">
        <v>225</v>
      </c>
      <c r="H103" s="580" t="s">
        <v>45</v>
      </c>
      <c r="I103" s="659" t="s">
        <v>45</v>
      </c>
      <c r="J103">
        <f t="shared" si="4"/>
        <v>37</v>
      </c>
      <c r="K103" s="8"/>
    </row>
    <row r="104" spans="1:11" x14ac:dyDescent="0.35">
      <c r="A104">
        <f t="shared" si="3"/>
        <v>38</v>
      </c>
      <c r="B104" s="23" t="str">
        <f>B43</f>
        <v>Indexed growth in sales of AI chips in quoted year with year 2025 set to 1</v>
      </c>
      <c r="C104" s="791" t="s">
        <v>45</v>
      </c>
      <c r="D104" s="487" t="s">
        <v>225</v>
      </c>
      <c r="E104" s="1" t="s">
        <v>225</v>
      </c>
      <c r="F104" s="1" t="s">
        <v>225</v>
      </c>
      <c r="G104" s="1" t="s">
        <v>225</v>
      </c>
      <c r="H104" s="580" t="s">
        <v>45</v>
      </c>
      <c r="I104" s="659" t="s">
        <v>45</v>
      </c>
      <c r="J104">
        <f t="shared" si="4"/>
        <v>38</v>
      </c>
      <c r="K104" s="8"/>
    </row>
    <row r="105" spans="1:11" x14ac:dyDescent="0.35">
      <c r="A105">
        <f t="shared" si="3"/>
        <v>39</v>
      </c>
      <c r="B105" s="23" t="str">
        <f>B44</f>
        <v>Total exa flops generated by global stock of AI chips in quoted year</v>
      </c>
      <c r="C105" s="791" t="s">
        <v>45</v>
      </c>
      <c r="D105" s="487" t="s">
        <v>225</v>
      </c>
      <c r="E105" s="1" t="s">
        <v>225</v>
      </c>
      <c r="F105" s="1" t="s">
        <v>225</v>
      </c>
      <c r="G105" s="1" t="s">
        <v>225</v>
      </c>
      <c r="H105" s="580" t="s">
        <v>45</v>
      </c>
      <c r="I105" s="659" t="s">
        <v>45</v>
      </c>
      <c r="J105">
        <f t="shared" si="4"/>
        <v>39</v>
      </c>
      <c r="K105" s="8"/>
    </row>
    <row r="106" spans="1:11" x14ac:dyDescent="0.35">
      <c r="A106">
        <f t="shared" si="3"/>
        <v>40</v>
      </c>
      <c r="B106" s="23" t="str">
        <f>B45</f>
        <v>Indexed growth in exa flops by global stock of AI chips in quoted year with 2025 set to 1</v>
      </c>
      <c r="C106" s="791" t="s">
        <v>45</v>
      </c>
      <c r="D106" s="487" t="s">
        <v>225</v>
      </c>
      <c r="E106" s="1" t="s">
        <v>225</v>
      </c>
      <c r="F106" s="1" t="s">
        <v>225</v>
      </c>
      <c r="G106" s="1" t="s">
        <v>225</v>
      </c>
      <c r="H106" s="580" t="s">
        <v>45</v>
      </c>
      <c r="I106" s="659" t="s">
        <v>45</v>
      </c>
      <c r="J106">
        <f t="shared" si="4"/>
        <v>40</v>
      </c>
      <c r="K106" s="8"/>
    </row>
    <row r="107" spans="1:11" ht="15" thickBot="1" x14ac:dyDescent="0.4">
      <c r="A107">
        <f t="shared" si="3"/>
        <v>41</v>
      </c>
      <c r="B107" s="23"/>
      <c r="C107" s="791"/>
      <c r="D107" s="487"/>
      <c r="E107" s="1"/>
      <c r="F107" s="1"/>
      <c r="G107" s="1"/>
      <c r="H107" s="580"/>
      <c r="I107" s="659"/>
      <c r="J107">
        <f t="shared" si="4"/>
        <v>41</v>
      </c>
      <c r="K107" s="8"/>
    </row>
    <row r="108" spans="1:11" ht="21.5" thickTop="1" x14ac:dyDescent="0.5">
      <c r="A108">
        <f t="shared" si="3"/>
        <v>42</v>
      </c>
      <c r="B108" s="702" t="str">
        <f>B47</f>
        <v>Impact on global electricity production</v>
      </c>
      <c r="C108" s="1198"/>
      <c r="D108" s="1199"/>
      <c r="E108" s="1200"/>
      <c r="F108" s="1200"/>
      <c r="G108" s="1200"/>
      <c r="H108" s="1201"/>
      <c r="I108" s="1202"/>
      <c r="J108">
        <f t="shared" si="4"/>
        <v>42</v>
      </c>
      <c r="K108" s="8"/>
    </row>
    <row r="109" spans="1:11" x14ac:dyDescent="0.35">
      <c r="A109">
        <f t="shared" si="3"/>
        <v>43</v>
      </c>
      <c r="B109" s="23" t="str">
        <f>B48</f>
        <v>Global sales in billion USD of electricity in quoted year</v>
      </c>
      <c r="C109" s="791" t="s">
        <v>45</v>
      </c>
      <c r="D109" s="487" t="s">
        <v>225</v>
      </c>
      <c r="E109" s="1" t="s">
        <v>225</v>
      </c>
      <c r="F109" s="1" t="s">
        <v>225</v>
      </c>
      <c r="G109" s="1" t="s">
        <v>225</v>
      </c>
      <c r="H109" s="580" t="s">
        <v>45</v>
      </c>
      <c r="I109" s="659" t="s">
        <v>45</v>
      </c>
      <c r="J109">
        <f t="shared" si="4"/>
        <v>43</v>
      </c>
      <c r="K109" s="8"/>
    </row>
    <row r="110" spans="1:11" x14ac:dyDescent="0.35">
      <c r="A110">
        <f t="shared" si="3"/>
        <v>44</v>
      </c>
      <c r="B110" s="23" t="str">
        <f>B49</f>
        <v>Assumed average global price per kWh of new electricity in quoted year</v>
      </c>
      <c r="C110" s="791" t="s">
        <v>45</v>
      </c>
      <c r="D110" s="487" t="s">
        <v>225</v>
      </c>
      <c r="E110" s="1" t="s">
        <v>225</v>
      </c>
      <c r="F110" s="1" t="s">
        <v>225</v>
      </c>
      <c r="G110" s="1" t="s">
        <v>225</v>
      </c>
      <c r="H110" s="580" t="s">
        <v>45</v>
      </c>
      <c r="I110" s="659" t="s">
        <v>45</v>
      </c>
      <c r="J110">
        <f t="shared" si="4"/>
        <v>44</v>
      </c>
      <c r="K110" s="8"/>
    </row>
    <row r="111" spans="1:11" x14ac:dyDescent="0.35">
      <c r="A111">
        <f t="shared" si="3"/>
        <v>45</v>
      </c>
      <c r="B111" s="23" t="str">
        <f>B50</f>
        <v>Indexed growth in sales of electricity globally in quoted year with year 2025 set to 1</v>
      </c>
      <c r="C111" s="791" t="s">
        <v>45</v>
      </c>
      <c r="D111" s="487" t="s">
        <v>225</v>
      </c>
      <c r="E111" s="1" t="s">
        <v>225</v>
      </c>
      <c r="F111" s="1" t="s">
        <v>225</v>
      </c>
      <c r="G111" s="1" t="s">
        <v>225</v>
      </c>
      <c r="H111" s="580" t="s">
        <v>45</v>
      </c>
      <c r="I111" s="659" t="s">
        <v>45</v>
      </c>
      <c r="J111">
        <f t="shared" si="4"/>
        <v>45</v>
      </c>
      <c r="K111" s="8"/>
    </row>
    <row r="112" spans="1:11" x14ac:dyDescent="0.35">
      <c r="A112">
        <f t="shared" si="3"/>
        <v>46</v>
      </c>
      <c r="B112" s="23" t="str">
        <f>B51</f>
        <v>Global sales of electricity in % of global GDP in quoted year</v>
      </c>
      <c r="C112" s="791" t="s">
        <v>45</v>
      </c>
      <c r="D112" s="487" t="s">
        <v>225</v>
      </c>
      <c r="E112" s="1" t="s">
        <v>225</v>
      </c>
      <c r="F112" s="1" t="s">
        <v>225</v>
      </c>
      <c r="G112" s="1" t="s">
        <v>225</v>
      </c>
      <c r="H112" s="580" t="s">
        <v>45</v>
      </c>
      <c r="I112" s="659" t="s">
        <v>45</v>
      </c>
      <c r="J112">
        <f t="shared" si="4"/>
        <v>46</v>
      </c>
      <c r="K112" s="8"/>
    </row>
    <row r="113" spans="1:11" x14ac:dyDescent="0.35">
      <c r="A113">
        <f t="shared" si="3"/>
        <v>47</v>
      </c>
      <c r="B113" s="23" t="str">
        <f t="shared" ref="B113:B117" si="7">B52</f>
        <v>Global electricity production in TWh in quoted year</v>
      </c>
      <c r="C113" s="791" t="s">
        <v>45</v>
      </c>
      <c r="D113" s="487" t="s">
        <v>225</v>
      </c>
      <c r="E113" s="1" t="s">
        <v>225</v>
      </c>
      <c r="F113" s="1" t="s">
        <v>225</v>
      </c>
      <c r="G113" s="1" t="s">
        <v>225</v>
      </c>
      <c r="H113" s="580" t="s">
        <v>45</v>
      </c>
      <c r="I113" s="659" t="s">
        <v>45</v>
      </c>
      <c r="J113">
        <f t="shared" si="4"/>
        <v>47</v>
      </c>
      <c r="K113" s="8"/>
    </row>
    <row r="114" spans="1:11" x14ac:dyDescent="0.35">
      <c r="A114">
        <f t="shared" si="3"/>
        <v>48</v>
      </c>
      <c r="B114" s="23" t="str">
        <f t="shared" si="7"/>
        <v>Indexed growth in global electricity production by TWh in quoted year</v>
      </c>
      <c r="C114" s="791" t="s">
        <v>45</v>
      </c>
      <c r="D114" s="487" t="s">
        <v>225</v>
      </c>
      <c r="E114" s="1" t="s">
        <v>225</v>
      </c>
      <c r="F114" s="1" t="s">
        <v>225</v>
      </c>
      <c r="G114" s="1" t="s">
        <v>225</v>
      </c>
      <c r="H114" s="580" t="s">
        <v>45</v>
      </c>
      <c r="I114" s="659" t="s">
        <v>45</v>
      </c>
      <c r="J114">
        <f t="shared" si="4"/>
        <v>48</v>
      </c>
      <c r="K114" s="8"/>
    </row>
    <row r="115" spans="1:11" x14ac:dyDescent="0.35">
      <c r="A115">
        <f t="shared" si="3"/>
        <v>49</v>
      </c>
      <c r="B115" s="23" t="str">
        <f t="shared" si="7"/>
        <v>Global use of TWh for AI computation in quoted year</v>
      </c>
      <c r="C115" s="791" t="s">
        <v>45</v>
      </c>
      <c r="D115" s="487" t="s">
        <v>225</v>
      </c>
      <c r="E115" s="1" t="s">
        <v>225</v>
      </c>
      <c r="F115" s="1" t="s">
        <v>225</v>
      </c>
      <c r="G115" s="1" t="s">
        <v>225</v>
      </c>
      <c r="H115" s="580" t="s">
        <v>45</v>
      </c>
      <c r="I115" s="659" t="s">
        <v>45</v>
      </c>
      <c r="J115">
        <f t="shared" si="4"/>
        <v>49</v>
      </c>
      <c r="K115" s="8"/>
    </row>
    <row r="116" spans="1:11" x14ac:dyDescent="0.35">
      <c r="A116">
        <f t="shared" si="3"/>
        <v>50</v>
      </c>
      <c r="B116" s="23" t="str">
        <f t="shared" si="7"/>
        <v>Indexed growth in TWh for AI computation in quoted year with 2025 set to 1</v>
      </c>
      <c r="C116" s="791" t="s">
        <v>45</v>
      </c>
      <c r="D116" s="487" t="s">
        <v>225</v>
      </c>
      <c r="E116" s="1" t="s">
        <v>225</v>
      </c>
      <c r="F116" s="1" t="s">
        <v>225</v>
      </c>
      <c r="G116" s="1" t="s">
        <v>225</v>
      </c>
      <c r="H116" s="580" t="s">
        <v>45</v>
      </c>
      <c r="I116" s="659" t="s">
        <v>45</v>
      </c>
      <c r="J116">
        <f t="shared" si="4"/>
        <v>50</v>
      </c>
      <c r="K116" s="8"/>
    </row>
    <row r="117" spans="1:11" x14ac:dyDescent="0.35">
      <c r="A117">
        <f t="shared" si="3"/>
        <v>51</v>
      </c>
      <c r="B117" s="23" t="str">
        <f t="shared" si="7"/>
        <v>Global use of electricity for AI computation in % of global electricity production in quoted year</v>
      </c>
      <c r="C117" s="791" t="s">
        <v>45</v>
      </c>
      <c r="D117" s="487" t="s">
        <v>225</v>
      </c>
      <c r="E117" s="1" t="s">
        <v>225</v>
      </c>
      <c r="F117" s="1" t="s">
        <v>225</v>
      </c>
      <c r="G117" s="1" t="s">
        <v>225</v>
      </c>
      <c r="H117" s="580" t="s">
        <v>45</v>
      </c>
      <c r="I117" s="659" t="s">
        <v>45</v>
      </c>
      <c r="J117">
        <f t="shared" si="4"/>
        <v>51</v>
      </c>
      <c r="K117" s="8"/>
    </row>
    <row r="118" spans="1:11" ht="15" thickBot="1" x14ac:dyDescent="0.4">
      <c r="A118">
        <f t="shared" si="3"/>
        <v>52</v>
      </c>
      <c r="B118" s="27"/>
      <c r="C118" s="931"/>
      <c r="D118" s="488"/>
      <c r="E118" s="175"/>
      <c r="F118" s="175"/>
      <c r="G118" s="175"/>
      <c r="H118" s="167"/>
      <c r="I118" s="295"/>
      <c r="J118">
        <f t="shared" si="4"/>
        <v>52</v>
      </c>
      <c r="K118" s="8"/>
    </row>
    <row r="119" spans="1:11" ht="15" thickTop="1" x14ac:dyDescent="0.35"/>
    <row r="127" spans="1:11" x14ac:dyDescent="0.35">
      <c r="C127" s="185"/>
    </row>
    <row r="128" spans="1:11" x14ac:dyDescent="0.35">
      <c r="C128" s="185"/>
    </row>
    <row r="129" spans="3:3" x14ac:dyDescent="0.35">
      <c r="C129" s="185"/>
    </row>
    <row r="130" spans="3:3" x14ac:dyDescent="0.35">
      <c r="C130" s="185"/>
    </row>
    <row r="131" spans="3:3" x14ac:dyDescent="0.35">
      <c r="C131" s="185"/>
    </row>
    <row r="156" spans="3:11" x14ac:dyDescent="0.35">
      <c r="C156" s="199"/>
      <c r="D156" s="199"/>
      <c r="E156" s="199"/>
      <c r="F156" s="199"/>
      <c r="G156" s="199"/>
      <c r="H156" s="199"/>
      <c r="I156" s="199"/>
      <c r="J156" s="8"/>
      <c r="K156" s="8"/>
    </row>
  </sheetData>
  <hyperlinks>
    <hyperlink ref="C70" r:id="rId1" xr:uid="{ACD3A330-6E88-4E20-85C7-5956C53E420A}"/>
    <hyperlink ref="G71" r:id="rId2" xr:uid="{21124DC2-3A3F-464F-9CD8-D4C7E3ACEC4E}"/>
    <hyperlink ref="D77" r:id="rId3" xr:uid="{CD1D55E2-FD92-43CF-A535-DA1B120079C1}"/>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0432D-02C7-438F-8555-B72EABE81633}">
  <dimension ref="A1:AF242"/>
  <sheetViews>
    <sheetView zoomScale="110" zoomScaleNormal="110" workbookViewId="0">
      <pane xSplit="4" ySplit="25" topLeftCell="E26" activePane="bottomRight" state="frozen"/>
      <selection pane="topRight" activeCell="E1" sqref="E1"/>
      <selection pane="bottomLeft" activeCell="A21" sqref="A21"/>
      <selection pane="bottomRight" activeCell="W37" sqref="W37"/>
    </sheetView>
  </sheetViews>
  <sheetFormatPr defaultRowHeight="14.5" x14ac:dyDescent="0.35"/>
  <cols>
    <col min="1" max="1" width="4.81640625" customWidth="1"/>
    <col min="2" max="2" width="3.26953125" customWidth="1"/>
    <col min="3" max="3" width="39.81640625" customWidth="1"/>
    <col min="4" max="4" width="17.08984375" customWidth="1"/>
    <col min="5" max="5" width="25.08984375" customWidth="1"/>
    <col min="6" max="6" width="8.54296875" customWidth="1"/>
    <col min="7" max="7" width="11.08984375" customWidth="1"/>
    <col min="8" max="8" width="11.7265625" customWidth="1"/>
    <col min="9" max="9" width="10.6328125" customWidth="1"/>
    <col min="10" max="12" width="11.90625" customWidth="1"/>
    <col min="13" max="13" width="11.36328125" customWidth="1"/>
    <col min="14" max="14" width="9.90625" customWidth="1"/>
    <col min="15" max="15" width="10.453125" customWidth="1"/>
    <col min="16" max="16" width="10.08984375" customWidth="1"/>
    <col min="17" max="17" width="8" customWidth="1"/>
    <col min="18" max="18" width="7.1796875" customWidth="1"/>
    <col min="19" max="19" width="13" customWidth="1"/>
    <col min="20" max="20" width="8.08984375" customWidth="1"/>
    <col min="21" max="21" width="7.90625" customWidth="1"/>
    <col min="22" max="22" width="7.54296875" customWidth="1"/>
    <col min="23" max="24" width="9.90625" customWidth="1"/>
    <col min="25" max="25" width="8.7265625" customWidth="1"/>
    <col min="26" max="26" width="9.08984375" customWidth="1"/>
    <col min="27" max="27" width="7.26953125" customWidth="1"/>
    <col min="28" max="28" width="23.36328125" customWidth="1"/>
    <col min="29" max="29" width="6.36328125" customWidth="1"/>
    <col min="30" max="30" width="6.26953125" customWidth="1"/>
    <col min="31" max="31" width="4.453125" customWidth="1"/>
    <col min="32" max="32" width="4.81640625" customWidth="1"/>
    <col min="33" max="33" width="32.54296875" customWidth="1"/>
    <col min="34" max="34" width="11.6328125" customWidth="1"/>
    <col min="35" max="35" width="26.81640625" customWidth="1"/>
    <col min="36" max="36" width="10.453125" customWidth="1"/>
    <col min="37" max="37" width="10.1796875" customWidth="1"/>
    <col min="38" max="38" width="11.26953125" customWidth="1"/>
    <col min="39" max="39" width="8.90625" customWidth="1"/>
    <col min="40" max="41" width="10.08984375" customWidth="1"/>
    <col min="42" max="42" width="7.54296875" customWidth="1"/>
    <col min="43" max="43" width="6.81640625" customWidth="1"/>
    <col min="44" max="44" width="7.453125" customWidth="1"/>
    <col min="45" max="45" width="8.26953125" customWidth="1"/>
    <col min="46" max="46" width="8.6328125" customWidth="1"/>
    <col min="47" max="47" width="8.7265625" customWidth="1"/>
  </cols>
  <sheetData>
    <row r="1" spans="1:32" ht="28.5" x14ac:dyDescent="0.65">
      <c r="A1" s="9" t="str">
        <f>AI_Models!A1</f>
        <v>Path towards AGI &amp; artificial humans - How close are AIs and robotics from being able to do any work that humans can do? #74/101</v>
      </c>
      <c r="AF1" t="s">
        <v>45</v>
      </c>
    </row>
    <row r="2" spans="1:32" ht="15.5" x14ac:dyDescent="0.35">
      <c r="A2" s="10" t="str">
        <f>AI_Models!$A$2</f>
        <v>Proprietary. © H. Mathiesen. This material can be used by others free of charge provided that the author H. Mathiesen is attributed and a clickable link is made visible to the location of used material on www.hmexperience.dk</v>
      </c>
      <c r="AB2" s="2">
        <v>1000</v>
      </c>
      <c r="AC2" t="s">
        <v>393</v>
      </c>
      <c r="AD2" t="s">
        <v>392</v>
      </c>
      <c r="AE2" s="14" t="s">
        <v>126</v>
      </c>
    </row>
    <row r="3" spans="1:32" ht="15.5" x14ac:dyDescent="0.35">
      <c r="A3" s="414" t="str">
        <f>AI_Models!A3</f>
        <v>Links to all sources are available in sources table below</v>
      </c>
      <c r="B3" s="415"/>
      <c r="C3" s="415"/>
      <c r="D3" s="415"/>
      <c r="P3" t="s">
        <v>45</v>
      </c>
      <c r="AB3" s="2">
        <v>1000000</v>
      </c>
      <c r="AC3" t="s">
        <v>318</v>
      </c>
      <c r="AD3" t="s">
        <v>371</v>
      </c>
    </row>
    <row r="4" spans="1:32" x14ac:dyDescent="0.35">
      <c r="J4">
        <f>20000/72</f>
        <v>277.77777777777777</v>
      </c>
      <c r="AB4" s="2">
        <v>1000000000</v>
      </c>
      <c r="AC4" t="s">
        <v>231</v>
      </c>
      <c r="AD4" t="s">
        <v>230</v>
      </c>
    </row>
    <row r="5" spans="1:32" ht="24" thickBot="1" x14ac:dyDescent="0.6">
      <c r="C5" s="30" t="s">
        <v>2152</v>
      </c>
      <c r="D5" s="31"/>
      <c r="E5" s="31"/>
      <c r="F5" s="31"/>
      <c r="G5" s="31"/>
      <c r="H5" s="31"/>
      <c r="I5" s="532" t="s">
        <v>2048</v>
      </c>
      <c r="J5" s="31" t="s">
        <v>45</v>
      </c>
      <c r="K5" s="31"/>
      <c r="L5" s="31"/>
      <c r="M5" s="709" t="s">
        <v>2157</v>
      </c>
      <c r="N5" s="31" t="s">
        <v>45</v>
      </c>
      <c r="O5" s="31"/>
      <c r="P5" s="31"/>
      <c r="Q5" s="31"/>
      <c r="R5" s="31"/>
      <c r="S5" s="31"/>
      <c r="T5" s="31"/>
      <c r="U5" s="31"/>
      <c r="V5" s="31"/>
      <c r="W5" s="533" t="s">
        <v>2274</v>
      </c>
      <c r="X5" s="533"/>
      <c r="Y5" s="532" t="s">
        <v>2155</v>
      </c>
      <c r="Z5" s="532"/>
      <c r="AA5" t="s">
        <v>45</v>
      </c>
      <c r="AB5" s="2">
        <v>1000000000000</v>
      </c>
      <c r="AC5" t="s">
        <v>127</v>
      </c>
      <c r="AD5" t="s">
        <v>124</v>
      </c>
    </row>
    <row r="6" spans="1:32" ht="15" thickTop="1" x14ac:dyDescent="0.35">
      <c r="C6" s="18" t="s">
        <v>13</v>
      </c>
      <c r="D6" s="19" t="s">
        <v>12</v>
      </c>
      <c r="E6" s="19" t="s">
        <v>35</v>
      </c>
      <c r="F6" s="19" t="s">
        <v>22</v>
      </c>
      <c r="G6" s="19" t="s">
        <v>19</v>
      </c>
      <c r="H6" s="19" t="s">
        <v>1221</v>
      </c>
      <c r="I6" s="19" t="s">
        <v>94</v>
      </c>
      <c r="J6" s="19" t="s">
        <v>2888</v>
      </c>
      <c r="K6" s="19" t="s">
        <v>2889</v>
      </c>
      <c r="L6" s="19" t="s">
        <v>2222</v>
      </c>
      <c r="M6" s="19" t="s">
        <v>483</v>
      </c>
      <c r="N6" s="19" t="s">
        <v>15</v>
      </c>
      <c r="O6" s="19" t="s">
        <v>15</v>
      </c>
      <c r="P6" s="19" t="s">
        <v>140</v>
      </c>
      <c r="Q6" s="19" t="s">
        <v>110</v>
      </c>
      <c r="R6" s="19" t="s">
        <v>31</v>
      </c>
      <c r="S6" s="19" t="s">
        <v>58</v>
      </c>
      <c r="T6" s="19" t="s">
        <v>25</v>
      </c>
      <c r="U6" s="19" t="s">
        <v>16</v>
      </c>
      <c r="V6" s="19" t="s">
        <v>16</v>
      </c>
      <c r="W6" s="19" t="s">
        <v>16</v>
      </c>
      <c r="X6" s="19" t="s">
        <v>16</v>
      </c>
      <c r="Y6" s="19" t="s">
        <v>16</v>
      </c>
      <c r="Z6" s="20" t="s">
        <v>16</v>
      </c>
      <c r="AA6" s="8"/>
      <c r="AB6" s="2">
        <v>1000000000000000</v>
      </c>
      <c r="AC6" t="s">
        <v>146</v>
      </c>
      <c r="AD6" t="s">
        <v>145</v>
      </c>
    </row>
    <row r="7" spans="1:32" x14ac:dyDescent="0.35">
      <c r="C7" s="21"/>
      <c r="D7" s="13" t="s">
        <v>60</v>
      </c>
      <c r="E7" s="13" t="s">
        <v>460</v>
      </c>
      <c r="F7" s="13" t="s">
        <v>23</v>
      </c>
      <c r="G7" s="13" t="s">
        <v>20</v>
      </c>
      <c r="H7" s="13" t="s">
        <v>1214</v>
      </c>
      <c r="I7" s="13" t="s">
        <v>104</v>
      </c>
      <c r="J7" s="13" t="s">
        <v>2223</v>
      </c>
      <c r="K7" s="13" t="s">
        <v>2890</v>
      </c>
      <c r="L7" s="13" t="s">
        <v>2221</v>
      </c>
      <c r="M7" s="13" t="s">
        <v>484</v>
      </c>
      <c r="N7" s="13" t="s">
        <v>24</v>
      </c>
      <c r="O7" s="13" t="s">
        <v>24</v>
      </c>
      <c r="P7" s="13" t="s">
        <v>338</v>
      </c>
      <c r="Q7" s="13" t="s">
        <v>337</v>
      </c>
      <c r="R7" s="13" t="s">
        <v>33</v>
      </c>
      <c r="S7" s="13" t="s">
        <v>59</v>
      </c>
      <c r="T7" s="13" t="s">
        <v>17</v>
      </c>
      <c r="U7" s="13" t="s">
        <v>26</v>
      </c>
      <c r="V7" s="13" t="s">
        <v>27</v>
      </c>
      <c r="W7" s="13" t="s">
        <v>264</v>
      </c>
      <c r="X7" s="13" t="s">
        <v>698</v>
      </c>
      <c r="Y7" s="13" t="s">
        <v>28</v>
      </c>
      <c r="Z7" s="22" t="s">
        <v>28</v>
      </c>
      <c r="AA7" s="8"/>
      <c r="AB7" s="2">
        <v>1E+18</v>
      </c>
      <c r="AC7" t="s">
        <v>128</v>
      </c>
      <c r="AD7" t="s">
        <v>125</v>
      </c>
    </row>
    <row r="8" spans="1:32" ht="15" thickBot="1" x14ac:dyDescent="0.4">
      <c r="C8" s="181"/>
      <c r="D8" s="173"/>
      <c r="E8" s="173"/>
      <c r="F8" s="173"/>
      <c r="G8" s="173"/>
      <c r="H8" s="173" t="s">
        <v>1215</v>
      </c>
      <c r="I8" s="173" t="s">
        <v>97</v>
      </c>
      <c r="J8" s="173" t="s">
        <v>2891</v>
      </c>
      <c r="K8" s="173" t="s">
        <v>2891</v>
      </c>
      <c r="L8" s="173" t="s">
        <v>75</v>
      </c>
      <c r="M8" s="173" t="s">
        <v>485</v>
      </c>
      <c r="N8" s="173" t="s">
        <v>335</v>
      </c>
      <c r="O8" s="173" t="s">
        <v>334</v>
      </c>
      <c r="P8" s="173" t="s">
        <v>336</v>
      </c>
      <c r="Q8" s="173" t="s">
        <v>61</v>
      </c>
      <c r="R8" s="173"/>
      <c r="S8" s="173" t="s">
        <v>57</v>
      </c>
      <c r="T8" s="173"/>
      <c r="U8" s="173" t="s">
        <v>42</v>
      </c>
      <c r="V8" s="173" t="s">
        <v>273</v>
      </c>
      <c r="W8" s="173" t="s">
        <v>86</v>
      </c>
      <c r="X8" s="173" t="s">
        <v>699</v>
      </c>
      <c r="Y8" s="173" t="s">
        <v>760</v>
      </c>
      <c r="Z8" s="182" t="s">
        <v>843</v>
      </c>
      <c r="AA8" s="8"/>
      <c r="AB8" s="8" t="s">
        <v>32</v>
      </c>
    </row>
    <row r="9" spans="1:32" ht="21.5" thickTop="1" x14ac:dyDescent="0.5">
      <c r="B9">
        <v>1</v>
      </c>
      <c r="C9" s="699" t="s">
        <v>753</v>
      </c>
      <c r="D9" s="204"/>
      <c r="E9" s="204"/>
      <c r="F9" s="204"/>
      <c r="G9" s="205"/>
      <c r="H9" s="205"/>
      <c r="I9" s="170"/>
      <c r="J9" s="206"/>
      <c r="K9" s="206"/>
      <c r="L9" s="206"/>
      <c r="M9" s="207"/>
      <c r="N9" s="206"/>
      <c r="O9" s="172"/>
      <c r="P9" s="403"/>
      <c r="Q9" s="206"/>
      <c r="R9" s="206"/>
      <c r="S9" s="205"/>
      <c r="T9" s="172"/>
      <c r="U9" s="208"/>
      <c r="V9" s="172"/>
      <c r="W9" s="172"/>
      <c r="X9" s="172"/>
      <c r="Y9" s="208"/>
      <c r="Z9" s="209"/>
      <c r="AA9">
        <v>1</v>
      </c>
    </row>
    <row r="10" spans="1:32" x14ac:dyDescent="0.35">
      <c r="B10">
        <f t="shared" ref="B10:B78" si="0">B9+1</f>
        <v>2</v>
      </c>
      <c r="C10" s="23" t="s">
        <v>493</v>
      </c>
      <c r="D10">
        <v>2018</v>
      </c>
      <c r="E10" t="s">
        <v>399</v>
      </c>
      <c r="F10">
        <v>1</v>
      </c>
      <c r="G10">
        <v>12</v>
      </c>
      <c r="H10" t="s">
        <v>1229</v>
      </c>
      <c r="I10" s="128">
        <f>J10*(1/I$100)</f>
        <v>13.333333333333334</v>
      </c>
      <c r="J10" s="2">
        <v>32</v>
      </c>
      <c r="K10" s="2">
        <v>0</v>
      </c>
      <c r="L10" s="750" t="s">
        <v>45</v>
      </c>
      <c r="M10" s="128">
        <v>870</v>
      </c>
      <c r="N10" s="2">
        <f>(J10*Calc_Moores_Law!R$47)/AB$4</f>
        <v>274.87790694400002</v>
      </c>
      <c r="O10">
        <v>21.1</v>
      </c>
      <c r="P10" s="401">
        <f>P11</f>
        <v>6000</v>
      </c>
      <c r="Q10">
        <v>815</v>
      </c>
      <c r="R10">
        <v>1</v>
      </c>
      <c r="S10" s="24">
        <f t="shared" ref="S10:S46" si="1">(O10*1000/Q10)/R10</f>
        <v>25.889570552147241</v>
      </c>
      <c r="T10" s="2">
        <v>300</v>
      </c>
      <c r="U10" s="6">
        <v>7.8</v>
      </c>
      <c r="V10">
        <v>15.7</v>
      </c>
      <c r="W10" s="128">
        <v>125</v>
      </c>
      <c r="X10" s="108" t="s">
        <v>45</v>
      </c>
      <c r="Y10" s="12">
        <f t="shared" ref="Y10:Y46" si="2">U10/T10</f>
        <v>2.5999999999999999E-2</v>
      </c>
      <c r="Z10" s="766">
        <f>W10/T10</f>
        <v>0.41666666666666669</v>
      </c>
      <c r="AA10">
        <f t="shared" ref="AA10:AA78" si="3">AA9+1</f>
        <v>2</v>
      </c>
    </row>
    <row r="11" spans="1:32" x14ac:dyDescent="0.35">
      <c r="B11">
        <f t="shared" si="0"/>
        <v>3</v>
      </c>
      <c r="C11" s="23" t="s">
        <v>1261</v>
      </c>
      <c r="D11">
        <v>2020</v>
      </c>
      <c r="E11" t="s">
        <v>399</v>
      </c>
      <c r="F11">
        <v>1</v>
      </c>
      <c r="G11">
        <v>7</v>
      </c>
      <c r="H11" t="s">
        <v>1229</v>
      </c>
      <c r="I11" s="128">
        <f>J11*(1/I$100)</f>
        <v>16.666666666666668</v>
      </c>
      <c r="J11" s="2">
        <v>40</v>
      </c>
      <c r="K11" s="2">
        <v>0</v>
      </c>
      <c r="L11" s="750" t="s">
        <v>45</v>
      </c>
      <c r="M11" s="128">
        <v>1555</v>
      </c>
      <c r="N11" s="2">
        <f>(J11*Calc_Moores_Law!R$47)/AB$4</f>
        <v>343.59738368000001</v>
      </c>
      <c r="O11" s="24">
        <v>54.2</v>
      </c>
      <c r="P11" s="185">
        <v>6000</v>
      </c>
      <c r="Q11">
        <v>826</v>
      </c>
      <c r="R11">
        <v>1</v>
      </c>
      <c r="S11" s="24">
        <f t="shared" si="1"/>
        <v>65.617433414043589</v>
      </c>
      <c r="T11" s="2">
        <v>240</v>
      </c>
      <c r="U11" s="6">
        <v>20</v>
      </c>
      <c r="V11" s="2">
        <v>80</v>
      </c>
      <c r="W11" s="128">
        <v>312</v>
      </c>
      <c r="X11" s="108" t="s">
        <v>45</v>
      </c>
      <c r="Y11" s="12">
        <f t="shared" si="2"/>
        <v>8.3333333333333329E-2</v>
      </c>
      <c r="Z11" s="766">
        <f t="shared" ref="Z11:Z34" si="4">W11/T11</f>
        <v>1.3</v>
      </c>
      <c r="AA11">
        <f t="shared" si="3"/>
        <v>3</v>
      </c>
    </row>
    <row r="12" spans="1:32" x14ac:dyDescent="0.35">
      <c r="B12">
        <f t="shared" si="0"/>
        <v>4</v>
      </c>
      <c r="C12" s="23" t="s">
        <v>1938</v>
      </c>
      <c r="D12">
        <v>2022</v>
      </c>
      <c r="E12" t="s">
        <v>399</v>
      </c>
      <c r="F12">
        <v>1</v>
      </c>
      <c r="G12">
        <v>4</v>
      </c>
      <c r="H12" t="s">
        <v>1229</v>
      </c>
      <c r="I12" s="128">
        <f>J12*(1/I$100)</f>
        <v>33.333333333333336</v>
      </c>
      <c r="J12" s="2">
        <v>80</v>
      </c>
      <c r="K12" s="2">
        <v>0</v>
      </c>
      <c r="L12" s="750">
        <v>0.05</v>
      </c>
      <c r="M12" s="128">
        <v>3350</v>
      </c>
      <c r="N12" s="2">
        <f>(J12*Calc_Moores_Law!R$47)/AB$4</f>
        <v>687.19476736000001</v>
      </c>
      <c r="O12">
        <v>80</v>
      </c>
      <c r="P12" s="185">
        <v>33000</v>
      </c>
      <c r="Q12">
        <v>814</v>
      </c>
      <c r="R12">
        <v>1</v>
      </c>
      <c r="S12" s="24">
        <f t="shared" si="1"/>
        <v>98.280098280098287</v>
      </c>
      <c r="T12" s="2">
        <v>700</v>
      </c>
      <c r="U12" s="6">
        <v>67</v>
      </c>
      <c r="V12" s="2">
        <v>1979</v>
      </c>
      <c r="W12" s="128">
        <v>3958</v>
      </c>
      <c r="X12" s="108" t="s">
        <v>45</v>
      </c>
      <c r="Y12" s="12">
        <f>U12/T12</f>
        <v>9.571428571428571E-2</v>
      </c>
      <c r="Z12" s="766">
        <f>W12/T12</f>
        <v>5.6542857142857139</v>
      </c>
      <c r="AA12">
        <f t="shared" si="3"/>
        <v>4</v>
      </c>
    </row>
    <row r="13" spans="1:32" x14ac:dyDescent="0.35">
      <c r="B13">
        <f t="shared" si="0"/>
        <v>5</v>
      </c>
      <c r="C13" s="23" t="s">
        <v>1746</v>
      </c>
      <c r="D13" s="214" t="s">
        <v>1540</v>
      </c>
      <c r="E13" t="s">
        <v>399</v>
      </c>
      <c r="F13">
        <v>1</v>
      </c>
      <c r="G13">
        <v>4</v>
      </c>
      <c r="H13" t="s">
        <v>1229</v>
      </c>
      <c r="I13" s="128">
        <f>J13*(1/I$100)</f>
        <v>33.333333333333336</v>
      </c>
      <c r="J13" s="2">
        <v>80</v>
      </c>
      <c r="K13" s="2">
        <v>0</v>
      </c>
      <c r="L13" s="750" t="s">
        <v>45</v>
      </c>
      <c r="M13" s="128">
        <v>2000</v>
      </c>
      <c r="N13" s="2">
        <f>(J13*Calc_Moores_Law!R$47)/AB$4</f>
        <v>687.19476736000001</v>
      </c>
      <c r="O13">
        <v>80</v>
      </c>
      <c r="P13" s="185">
        <v>31379</v>
      </c>
      <c r="Q13" s="7" t="s">
        <v>45</v>
      </c>
      <c r="R13">
        <v>1</v>
      </c>
      <c r="S13" s="92" t="s">
        <v>45</v>
      </c>
      <c r="T13" s="2">
        <v>350</v>
      </c>
      <c r="U13" s="6">
        <v>51</v>
      </c>
      <c r="V13" s="2">
        <v>1513</v>
      </c>
      <c r="W13" s="128">
        <v>3026</v>
      </c>
      <c r="X13" s="108" t="s">
        <v>45</v>
      </c>
      <c r="Y13" s="12">
        <f>U13/T13</f>
        <v>0.14571428571428571</v>
      </c>
      <c r="Z13" s="766">
        <f>W13/T13</f>
        <v>8.6457142857142859</v>
      </c>
      <c r="AA13">
        <f t="shared" si="3"/>
        <v>5</v>
      </c>
    </row>
    <row r="14" spans="1:32" x14ac:dyDescent="0.35">
      <c r="B14">
        <f t="shared" si="0"/>
        <v>6</v>
      </c>
      <c r="C14" s="23" t="s">
        <v>3183</v>
      </c>
      <c r="D14">
        <v>2024</v>
      </c>
      <c r="E14" t="s">
        <v>399</v>
      </c>
      <c r="F14">
        <v>1</v>
      </c>
      <c r="G14">
        <v>4</v>
      </c>
      <c r="H14" t="s">
        <v>1229</v>
      </c>
      <c r="I14" s="128">
        <f>J14*(1/I$102)</f>
        <v>320</v>
      </c>
      <c r="J14" s="2">
        <v>192</v>
      </c>
      <c r="K14" s="2">
        <v>0</v>
      </c>
      <c r="L14" s="750" t="s">
        <v>45</v>
      </c>
      <c r="M14" s="128">
        <v>8000</v>
      </c>
      <c r="N14" s="2">
        <f>(J14*Calc_Moores_Law!R$47)/AB$4</f>
        <v>1649.267441664</v>
      </c>
      <c r="O14">
        <v>208</v>
      </c>
      <c r="P14" s="401">
        <v>32500</v>
      </c>
      <c r="Q14" s="7" t="s">
        <v>45</v>
      </c>
      <c r="R14">
        <v>1</v>
      </c>
      <c r="S14" s="7" t="s">
        <v>45</v>
      </c>
      <c r="T14" s="2">
        <v>700</v>
      </c>
      <c r="U14" s="26">
        <v>60</v>
      </c>
      <c r="V14" s="2">
        <v>3500</v>
      </c>
      <c r="W14" s="128">
        <v>7000</v>
      </c>
      <c r="X14" s="128">
        <v>14000</v>
      </c>
      <c r="Y14" s="12">
        <f>U14/T14</f>
        <v>8.5714285714285715E-2</v>
      </c>
      <c r="Z14" s="766">
        <f>X14/T14</f>
        <v>20</v>
      </c>
      <c r="AA14">
        <f t="shared" si="3"/>
        <v>6</v>
      </c>
    </row>
    <row r="15" spans="1:32" x14ac:dyDescent="0.35">
      <c r="B15">
        <f t="shared" si="0"/>
        <v>7</v>
      </c>
      <c r="C15" s="23" t="s">
        <v>1597</v>
      </c>
      <c r="D15">
        <v>2024</v>
      </c>
      <c r="E15" t="s">
        <v>399</v>
      </c>
      <c r="F15">
        <v>1</v>
      </c>
      <c r="G15">
        <v>4</v>
      </c>
      <c r="H15" t="s">
        <v>1229</v>
      </c>
      <c r="I15" s="128">
        <f>J15*(1/I$102)</f>
        <v>320</v>
      </c>
      <c r="J15" s="2">
        <v>192</v>
      </c>
      <c r="K15" s="2">
        <v>0</v>
      </c>
      <c r="L15" s="750" t="s">
        <v>45</v>
      </c>
      <c r="M15" s="128">
        <v>8000</v>
      </c>
      <c r="N15" s="2">
        <f>(J15*Calc_Moores_Law!R$47)/AB$4</f>
        <v>1649.267441664</v>
      </c>
      <c r="O15" s="7" t="s">
        <v>45</v>
      </c>
      <c r="P15" s="401">
        <f>P14</f>
        <v>32500</v>
      </c>
      <c r="Q15" s="7" t="s">
        <v>45</v>
      </c>
      <c r="R15" s="7" t="s">
        <v>45</v>
      </c>
      <c r="S15" s="7" t="s">
        <v>45</v>
      </c>
      <c r="T15" s="2">
        <v>1000</v>
      </c>
      <c r="U15" s="26">
        <v>80</v>
      </c>
      <c r="V15" s="2">
        <v>4500</v>
      </c>
      <c r="W15" s="128">
        <v>9000</v>
      </c>
      <c r="X15" s="128">
        <v>18000</v>
      </c>
      <c r="Y15" s="12">
        <f>U15/T15</f>
        <v>0.08</v>
      </c>
      <c r="Z15" s="766">
        <f>X15/T15</f>
        <v>18</v>
      </c>
      <c r="AA15">
        <f t="shared" si="3"/>
        <v>7</v>
      </c>
    </row>
    <row r="16" spans="1:32" x14ac:dyDescent="0.35">
      <c r="B16">
        <f t="shared" si="0"/>
        <v>8</v>
      </c>
      <c r="C16" s="23" t="s">
        <v>2884</v>
      </c>
      <c r="D16">
        <v>2023</v>
      </c>
      <c r="E16" t="s">
        <v>458</v>
      </c>
      <c r="F16">
        <v>2</v>
      </c>
      <c r="G16">
        <v>4</v>
      </c>
      <c r="H16" t="s">
        <v>1229</v>
      </c>
      <c r="I16" s="128">
        <f>J16*(1/I$101)</f>
        <v>120</v>
      </c>
      <c r="J16" s="2">
        <v>144</v>
      </c>
      <c r="K16" s="2">
        <v>480</v>
      </c>
      <c r="L16" s="750" t="s">
        <v>45</v>
      </c>
      <c r="M16" s="108">
        <v>4000</v>
      </c>
      <c r="N16" s="2">
        <f>(J16*Calc_Moores_Law!R$47)/AB$4</f>
        <v>1236.9505812479999</v>
      </c>
      <c r="O16">
        <v>200</v>
      </c>
      <c r="P16" s="185">
        <v>51000</v>
      </c>
      <c r="Q16" s="7">
        <f>Q12*2</f>
        <v>1628</v>
      </c>
      <c r="R16" s="7">
        <v>1</v>
      </c>
      <c r="S16" s="24">
        <f t="shared" si="1"/>
        <v>122.85012285012284</v>
      </c>
      <c r="T16" s="2">
        <v>1000</v>
      </c>
      <c r="U16" s="6">
        <v>67</v>
      </c>
      <c r="V16" s="2">
        <v>1979</v>
      </c>
      <c r="W16" s="128">
        <v>3958</v>
      </c>
      <c r="X16" s="108" t="s">
        <v>45</v>
      </c>
      <c r="Y16" s="12">
        <f t="shared" si="2"/>
        <v>6.7000000000000004E-2</v>
      </c>
      <c r="Z16" s="766">
        <f>W16/T16</f>
        <v>3.9580000000000002</v>
      </c>
      <c r="AA16">
        <f t="shared" si="3"/>
        <v>8</v>
      </c>
    </row>
    <row r="17" spans="1:29" x14ac:dyDescent="0.35">
      <c r="A17">
        <f>2*J14+480</f>
        <v>864</v>
      </c>
      <c r="B17">
        <f t="shared" si="0"/>
        <v>9</v>
      </c>
      <c r="C17" s="23" t="s">
        <v>2885</v>
      </c>
      <c r="D17">
        <v>2024</v>
      </c>
      <c r="E17" t="s">
        <v>458</v>
      </c>
      <c r="F17">
        <v>3</v>
      </c>
      <c r="G17">
        <v>4</v>
      </c>
      <c r="H17" t="s">
        <v>1229</v>
      </c>
      <c r="I17" s="128">
        <f>J17*(1/I$102)</f>
        <v>640</v>
      </c>
      <c r="J17" s="2">
        <f>2*J14</f>
        <v>384</v>
      </c>
      <c r="K17" s="2">
        <v>480</v>
      </c>
      <c r="L17" s="750" t="s">
        <v>45</v>
      </c>
      <c r="M17" s="108">
        <v>16000</v>
      </c>
      <c r="N17" s="2">
        <f>(J17*Calc_Moores_Law!R$47)/AB$4</f>
        <v>3298.534883328</v>
      </c>
      <c r="O17">
        <f>2*O14+(O16-O12)</f>
        <v>536</v>
      </c>
      <c r="P17" s="185">
        <v>65000</v>
      </c>
      <c r="Q17" s="7" t="s">
        <v>45</v>
      </c>
      <c r="R17" s="7">
        <v>1</v>
      </c>
      <c r="S17" s="92" t="s">
        <v>45</v>
      </c>
      <c r="T17" s="2">
        <v>2700</v>
      </c>
      <c r="U17" s="26">
        <v>180</v>
      </c>
      <c r="V17" s="2">
        <v>10000</v>
      </c>
      <c r="W17" s="128">
        <v>20000</v>
      </c>
      <c r="X17" s="128">
        <v>40000</v>
      </c>
      <c r="Y17" s="93" t="s">
        <v>45</v>
      </c>
      <c r="Z17" s="766">
        <f>X17/T17</f>
        <v>14.814814814814815</v>
      </c>
      <c r="AA17">
        <f t="shared" si="3"/>
        <v>9</v>
      </c>
    </row>
    <row r="18" spans="1:29" x14ac:dyDescent="0.35">
      <c r="B18">
        <f t="shared" si="0"/>
        <v>10</v>
      </c>
      <c r="C18" s="23" t="s">
        <v>2911</v>
      </c>
      <c r="D18" s="7" t="s">
        <v>2807</v>
      </c>
      <c r="E18" t="s">
        <v>399</v>
      </c>
      <c r="F18">
        <v>1</v>
      </c>
      <c r="H18" t="s">
        <v>1229</v>
      </c>
      <c r="I18" s="128">
        <f>J18*(1/I$102)</f>
        <v>480</v>
      </c>
      <c r="J18" s="2">
        <v>288</v>
      </c>
      <c r="K18" s="2">
        <f>40000/AI_Supercomputers!I13</f>
        <v>555.55555555555554</v>
      </c>
      <c r="L18" s="750" t="s">
        <v>45</v>
      </c>
      <c r="M18" s="108" t="s">
        <v>45</v>
      </c>
      <c r="N18" s="2">
        <f>(J18*Calc_Moores_Law!R$47)/AB$4</f>
        <v>2473.9011624959999</v>
      </c>
      <c r="O18" s="7" t="s">
        <v>45</v>
      </c>
      <c r="P18" s="401" t="s">
        <v>45</v>
      </c>
      <c r="Q18" s="7" t="s">
        <v>45</v>
      </c>
      <c r="R18" s="7">
        <v>1</v>
      </c>
      <c r="S18" s="92" t="s">
        <v>45</v>
      </c>
      <c r="T18" s="92" t="s">
        <v>45</v>
      </c>
      <c r="U18" s="92" t="s">
        <v>45</v>
      </c>
      <c r="V18" s="92" t="s">
        <v>45</v>
      </c>
      <c r="W18" s="108">
        <f>360000/AI_Supercomputers!I13</f>
        <v>5000</v>
      </c>
      <c r="X18" s="128">
        <v>15000</v>
      </c>
      <c r="Y18" s="93" t="s">
        <v>45</v>
      </c>
      <c r="Z18" s="768" t="s">
        <v>45</v>
      </c>
      <c r="AA18">
        <f t="shared" si="3"/>
        <v>10</v>
      </c>
    </row>
    <row r="19" spans="1:29" x14ac:dyDescent="0.35">
      <c r="B19">
        <f t="shared" si="0"/>
        <v>11</v>
      </c>
      <c r="C19" s="23" t="s">
        <v>2808</v>
      </c>
      <c r="D19" s="7" t="s">
        <v>2806</v>
      </c>
      <c r="E19" t="s">
        <v>399</v>
      </c>
      <c r="H19" t="s">
        <v>1229</v>
      </c>
      <c r="I19" s="128">
        <f>J19*(1/I$102)</f>
        <v>480</v>
      </c>
      <c r="J19" s="2">
        <v>288</v>
      </c>
      <c r="K19" s="2">
        <f>75000/AI_Supercomputers!I14</f>
        <v>520.83333333333337</v>
      </c>
      <c r="L19" s="750" t="s">
        <v>45</v>
      </c>
      <c r="M19" s="108">
        <v>13000</v>
      </c>
      <c r="N19" s="2"/>
      <c r="P19" s="185"/>
      <c r="Q19" s="7"/>
      <c r="R19" s="7"/>
      <c r="S19" s="92"/>
      <c r="T19" s="2"/>
      <c r="U19" s="26"/>
      <c r="V19" s="2"/>
      <c r="W19" s="128">
        <f>1200000/AI_Supercomputers!I14</f>
        <v>8333.3333333333339</v>
      </c>
      <c r="X19" s="128">
        <v>50000</v>
      </c>
      <c r="Y19" s="93" t="s">
        <v>45</v>
      </c>
      <c r="Z19" s="768" t="s">
        <v>45</v>
      </c>
      <c r="AA19">
        <f t="shared" si="3"/>
        <v>11</v>
      </c>
    </row>
    <row r="20" spans="1:29" x14ac:dyDescent="0.35">
      <c r="B20">
        <f t="shared" si="0"/>
        <v>12</v>
      </c>
      <c r="C20" s="23" t="s">
        <v>2809</v>
      </c>
      <c r="D20" s="7" t="s">
        <v>2805</v>
      </c>
      <c r="E20" t="s">
        <v>399</v>
      </c>
      <c r="H20" t="s">
        <v>1229</v>
      </c>
      <c r="I20" s="128">
        <f>J20*(1/I$102)</f>
        <v>1666.6666666666667</v>
      </c>
      <c r="J20" s="2">
        <v>1000</v>
      </c>
      <c r="K20" s="2">
        <f>365000/AI_Supercomputers!I15</f>
        <v>633.68055555555554</v>
      </c>
      <c r="L20" s="750" t="s">
        <v>45</v>
      </c>
      <c r="M20" s="108" t="s">
        <v>45</v>
      </c>
      <c r="N20" s="2"/>
      <c r="P20" s="185"/>
      <c r="Q20" s="7"/>
      <c r="R20" s="7"/>
      <c r="S20" s="92"/>
      <c r="T20" s="34" t="s">
        <v>45</v>
      </c>
      <c r="U20" s="26"/>
      <c r="V20" s="2"/>
      <c r="W20" s="128">
        <f>AI_Supercomputers!R15/AI_Supercomputers!I15</f>
        <v>8680.5555555555547</v>
      </c>
      <c r="X20" s="128">
        <v>100000</v>
      </c>
      <c r="Y20" s="93" t="s">
        <v>45</v>
      </c>
      <c r="Z20" s="768" t="s">
        <v>45</v>
      </c>
      <c r="AA20">
        <f t="shared" si="3"/>
        <v>12</v>
      </c>
    </row>
    <row r="21" spans="1:29" x14ac:dyDescent="0.35">
      <c r="B21">
        <f t="shared" si="0"/>
        <v>13</v>
      </c>
      <c r="C21" s="23" t="s">
        <v>2814</v>
      </c>
      <c r="D21" s="7">
        <v>2028</v>
      </c>
      <c r="E21" t="s">
        <v>399</v>
      </c>
      <c r="H21" t="s">
        <v>1229</v>
      </c>
      <c r="I21" s="108" t="s">
        <v>45</v>
      </c>
      <c r="J21" s="34" t="s">
        <v>45</v>
      </c>
      <c r="K21" s="34" t="s">
        <v>45</v>
      </c>
      <c r="L21" s="34" t="s">
        <v>45</v>
      </c>
      <c r="M21" s="108" t="s">
        <v>45</v>
      </c>
      <c r="N21" s="2"/>
      <c r="P21" s="185"/>
      <c r="Q21" s="7"/>
      <c r="R21" s="7"/>
      <c r="S21" s="92"/>
      <c r="T21" s="2"/>
      <c r="U21" s="26"/>
      <c r="V21" s="2"/>
      <c r="W21" s="128"/>
      <c r="X21" s="128"/>
      <c r="Y21" s="93"/>
      <c r="Z21" s="768"/>
      <c r="AA21">
        <f t="shared" si="3"/>
        <v>13</v>
      </c>
    </row>
    <row r="22" spans="1:29" x14ac:dyDescent="0.35">
      <c r="B22">
        <f t="shared" si="0"/>
        <v>14</v>
      </c>
      <c r="C22" s="568" t="s">
        <v>2926</v>
      </c>
      <c r="D22" s="569" t="s">
        <v>2950</v>
      </c>
      <c r="E22" s="570" t="s">
        <v>458</v>
      </c>
      <c r="F22" s="573" t="s">
        <v>1600</v>
      </c>
      <c r="G22" s="574">
        <f>Calc_nm_Law!C18</f>
        <v>1.3376681608188816</v>
      </c>
      <c r="H22" s="570" t="s">
        <v>1229</v>
      </c>
      <c r="I22" s="571">
        <f>J22*(1/I$102)</f>
        <v>1493.1571706574289</v>
      </c>
      <c r="J22" s="571">
        <f>FutureAISupercomputers!$T$21</f>
        <v>895.89430239445733</v>
      </c>
      <c r="K22" s="571"/>
      <c r="L22" s="751" t="s">
        <v>45</v>
      </c>
      <c r="M22" s="572" t="s">
        <v>1599</v>
      </c>
      <c r="N22" s="571">
        <f>(J22*Calc_Moores_Law!R$47)/AB$4</f>
        <v>7695.6734589138578</v>
      </c>
      <c r="O22" s="573" t="s">
        <v>45</v>
      </c>
      <c r="P22" s="575">
        <f>FutureAISupercomputers!K21</f>
        <v>55000</v>
      </c>
      <c r="Q22" s="573" t="s">
        <v>45</v>
      </c>
      <c r="R22" s="573" t="s">
        <v>45</v>
      </c>
      <c r="S22" s="576">
        <f>Calc_Moores_Law!H18</f>
        <v>532.50801149353879</v>
      </c>
      <c r="T22" s="571">
        <f>FutureAISupercomputers!N21</f>
        <v>3239.5942778249623</v>
      </c>
      <c r="U22" s="572">
        <f>U$17*Calc_Moores_Law!L18</f>
        <v>480.33909042266708</v>
      </c>
      <c r="V22" s="571">
        <f>V$17*Calc_Moores_Law!L18</f>
        <v>26685.505023481503</v>
      </c>
      <c r="W22" s="571">
        <f>W$17*Calc_Moores_Law!L18</f>
        <v>53371.010046963005</v>
      </c>
      <c r="X22" s="571">
        <f>X$17*Calc_Moores_Law!L18</f>
        <v>106742.02009392601</v>
      </c>
      <c r="Y22" s="577">
        <f>U22/T22</f>
        <v>0.14827137265632007</v>
      </c>
      <c r="Z22" s="578">
        <f>W22/T22</f>
        <v>16.47459696181334</v>
      </c>
      <c r="AA22">
        <f t="shared" si="3"/>
        <v>14</v>
      </c>
    </row>
    <row r="23" spans="1:29" x14ac:dyDescent="0.35">
      <c r="B23">
        <f>B22+1</f>
        <v>15</v>
      </c>
      <c r="C23" s="568" t="s">
        <v>2271</v>
      </c>
      <c r="D23" s="569" t="s">
        <v>2953</v>
      </c>
      <c r="E23" s="570" t="s">
        <v>458</v>
      </c>
      <c r="F23" s="573" t="s">
        <v>1600</v>
      </c>
      <c r="G23" s="574">
        <f>Calc_nm_Law!C21</f>
        <v>1</v>
      </c>
      <c r="H23" s="570" t="s">
        <v>1628</v>
      </c>
      <c r="I23" s="571">
        <f>J23*(1/I$102)</f>
        <v>8127.4933860771762</v>
      </c>
      <c r="J23" s="571">
        <f>FutureAISupercomputers!T27</f>
        <v>4876.4960316463057</v>
      </c>
      <c r="K23" s="571"/>
      <c r="L23" s="751" t="s">
        <v>45</v>
      </c>
      <c r="M23" s="572" t="s">
        <v>1547</v>
      </c>
      <c r="N23" s="571">
        <f>(J23*Calc_Moores_Law!R$47)/AB$4</f>
        <v>41888.78194998933</v>
      </c>
      <c r="O23" s="573" t="s">
        <v>45</v>
      </c>
      <c r="P23" s="575">
        <f>FutureAISupercomputers!K27</f>
        <v>30000</v>
      </c>
      <c r="Q23" s="573" t="s">
        <v>45</v>
      </c>
      <c r="R23" s="573" t="s">
        <v>45</v>
      </c>
      <c r="S23" s="576">
        <f>Calc_Moores_Law!H24</f>
        <v>1644.3899157865894</v>
      </c>
      <c r="T23" s="571">
        <f>FutureAISupercomputers!N27</f>
        <v>4257.7573932569067</v>
      </c>
      <c r="U23" s="572">
        <f>U$17*Calc_Moores_Law!L24</f>
        <v>1949.4714469691032</v>
      </c>
      <c r="V23" s="571">
        <f>V$17*Calc_Moores_Law!L24</f>
        <v>108303.9692760613</v>
      </c>
      <c r="W23" s="571">
        <f>W$17*Calc_Moores_Law!L24</f>
        <v>216607.93855212259</v>
      </c>
      <c r="X23" s="571">
        <f>X$17*Calc_Moores_Law!L24</f>
        <v>433215.87710424518</v>
      </c>
      <c r="Y23" s="577">
        <f>U23/T23</f>
        <v>0.457863440048632</v>
      </c>
      <c r="Z23" s="578">
        <f>W23/T23</f>
        <v>50.873715560959113</v>
      </c>
      <c r="AA23">
        <f>AA22+1</f>
        <v>15</v>
      </c>
    </row>
    <row r="24" spans="1:29" x14ac:dyDescent="0.35">
      <c r="B24">
        <f t="shared" si="0"/>
        <v>16</v>
      </c>
      <c r="C24" s="568" t="s">
        <v>2272</v>
      </c>
      <c r="D24" s="570" t="s">
        <v>2957</v>
      </c>
      <c r="E24" s="570" t="s">
        <v>458</v>
      </c>
      <c r="F24" s="573" t="s">
        <v>1600</v>
      </c>
      <c r="G24" s="574">
        <f>Calc_nm_Law!C21</f>
        <v>1</v>
      </c>
      <c r="H24" s="570" t="s">
        <v>1628</v>
      </c>
      <c r="I24" s="571">
        <f>J24*(1/I$102)</f>
        <v>29856.41920391973</v>
      </c>
      <c r="J24" s="571">
        <f>FutureAISupercomputers!T37</f>
        <v>17913.851522351837</v>
      </c>
      <c r="K24" s="571"/>
      <c r="L24" s="751" t="s">
        <v>45</v>
      </c>
      <c r="M24" s="572" t="s">
        <v>1547</v>
      </c>
      <c r="N24" s="571">
        <f>(J24*Calc_Moores_Law!R$47)/AB$4</f>
        <v>153878.8128678019</v>
      </c>
      <c r="O24" s="573" t="s">
        <v>45</v>
      </c>
      <c r="P24" s="575">
        <f>FutureAISupercomputers!K37</f>
        <v>10000</v>
      </c>
      <c r="Q24" s="573" t="s">
        <v>45</v>
      </c>
      <c r="R24" s="573" t="s">
        <v>45</v>
      </c>
      <c r="S24" s="576">
        <f>Calc_Moores_Law!H34</f>
        <v>1985.3498893592425</v>
      </c>
      <c r="T24" s="571">
        <f>FutureAISupercomputers!N37</f>
        <v>6714.2585258643885</v>
      </c>
      <c r="U24" s="572">
        <f>U$17*Calc_Moores_Law!L34</f>
        <v>3711.6436834508863</v>
      </c>
      <c r="V24" s="571">
        <f>V$17*Calc_Moores_Law!L34</f>
        <v>206202.42685838256</v>
      </c>
      <c r="W24" s="571">
        <f>W$17*Calc_Moores_Law!L34</f>
        <v>412404.85371676512</v>
      </c>
      <c r="X24" s="571">
        <f>X$17*Calc_Moores_Law!L34</f>
        <v>824809.70743353025</v>
      </c>
      <c r="Y24" s="577">
        <f>U24/T24</f>
        <v>0.55280023388331656</v>
      </c>
      <c r="Z24" s="578">
        <f>W24/T24</f>
        <v>61.422248209257397</v>
      </c>
      <c r="AA24">
        <f t="shared" si="3"/>
        <v>16</v>
      </c>
    </row>
    <row r="25" spans="1:29" x14ac:dyDescent="0.35">
      <c r="B25">
        <f t="shared" si="0"/>
        <v>17</v>
      </c>
      <c r="C25" s="517" t="s">
        <v>2254</v>
      </c>
      <c r="D25" s="1" t="str">
        <f>D24</f>
        <v xml:space="preserve">2045 - Artificial super humans = Ultra human AGI + Super human androids. The AGI brain is now internalized in body so they no longer need a separate datacenter for AGI level thinking. Biological brains are extremely power efficient at 645 TFLOPS per watt see sheet on AI models. Computers in 2025 can at best do 7.36 TFLOPS/watt. The progress towards higher compute efficiency is not progressing very fast so we should expect many more years for digital computers to get as efficient as the analog biological computers. Moore's law is almost dead when it comes to compute efficiency but a paradigm shift going from electronic transistors to optical transistors for compute could make digital computers much more power efficient. HM believe the hardest part will be to lower the power consumption of the needed memory especially the HBM RAM that will consume a lot of electricity for very large systems of AI models. Artificial super humans could be like the Alita character from Alita: Battle Angel see https://www.youtube.com/watch?v=eeUXF79QF7s&amp;t=71s However, they may also prefer to look and move exactly like humans in order to blend in more naturally among humans. They will be an artificial species capable of building their own technological civilization anywhere in space without any help from humans. Indeed, they will be much more suited to colonize space than humans because they are far less fragile than humans who can only survive in a narrow window of temperature, pressure, gravity, radiation and atmospheric composition. I HM also fully expect them to get legal rights on par with humans because not giving them such rights would be unethical the same way it is unethical to deny humans the right to freedom, egalitarianism and democracy. </v>
      </c>
      <c r="E25" s="570" t="s">
        <v>458</v>
      </c>
      <c r="F25" s="580" t="s">
        <v>1603</v>
      </c>
      <c r="G25" s="581" t="s">
        <v>1604</v>
      </c>
      <c r="H25" s="570" t="s">
        <v>1628</v>
      </c>
      <c r="I25" s="91">
        <f>J25*(1/I$102)</f>
        <v>66986.666666666672</v>
      </c>
      <c r="J25" s="91">
        <f>J76</f>
        <v>40192</v>
      </c>
      <c r="K25" s="91"/>
      <c r="L25" s="751" t="s">
        <v>45</v>
      </c>
      <c r="M25" s="230" t="s">
        <v>1547</v>
      </c>
      <c r="N25" s="91">
        <f>(J25*Calc_Moores_Law!R$47)/AB$4</f>
        <v>345246.65112166398</v>
      </c>
      <c r="O25" s="230" t="s">
        <v>45</v>
      </c>
      <c r="P25" s="583">
        <v>40000</v>
      </c>
      <c r="Q25" s="91" t="str">
        <f>Q73</f>
        <v>1260cm3</v>
      </c>
      <c r="R25" s="91">
        <f>(N25*AB4)^(1/3)</f>
        <v>70152.500932164359</v>
      </c>
      <c r="S25" s="582" t="s">
        <v>45</v>
      </c>
      <c r="T25" s="230">
        <f>AI_Supercomputers!J22</f>
        <v>100</v>
      </c>
      <c r="U25" s="584" t="s">
        <v>45</v>
      </c>
      <c r="V25" s="230" t="s">
        <v>45</v>
      </c>
      <c r="W25" s="230" t="s">
        <v>45</v>
      </c>
      <c r="X25" s="230">
        <f>X73</f>
        <v>12900</v>
      </c>
      <c r="Y25" s="585" t="s">
        <v>45</v>
      </c>
      <c r="Z25" s="586">
        <f>X25/T25</f>
        <v>129</v>
      </c>
      <c r="AA25">
        <f t="shared" si="3"/>
        <v>17</v>
      </c>
    </row>
    <row r="26" spans="1:29" x14ac:dyDescent="0.35">
      <c r="B26">
        <f t="shared" si="0"/>
        <v>18</v>
      </c>
      <c r="C26" s="23" t="s">
        <v>52</v>
      </c>
      <c r="D26">
        <v>2021</v>
      </c>
      <c r="E26" t="s">
        <v>36</v>
      </c>
      <c r="F26">
        <v>1</v>
      </c>
      <c r="G26">
        <v>7</v>
      </c>
      <c r="H26" t="s">
        <v>1229</v>
      </c>
      <c r="I26" s="128">
        <f>J26*(1/I$100)</f>
        <v>533.85416666666674</v>
      </c>
      <c r="J26" s="34">
        <f>AI_Supercomputers!M40/AI_Supercomputers!I40</f>
        <v>1281.25</v>
      </c>
      <c r="K26" s="34"/>
      <c r="L26" s="750" t="s">
        <v>45</v>
      </c>
      <c r="M26" s="108">
        <v>20000000</v>
      </c>
      <c r="N26" s="2">
        <f>(J26*Calc_Moores_Law!R$47)/AB$4</f>
        <v>11005.853696</v>
      </c>
      <c r="O26" s="2">
        <v>2600</v>
      </c>
      <c r="P26" s="185">
        <v>1500000</v>
      </c>
      <c r="Q26" s="2">
        <v>46225</v>
      </c>
      <c r="R26" s="2">
        <v>1</v>
      </c>
      <c r="S26" s="24">
        <f>(O26*1000/Q26)/R26</f>
        <v>56.246619794483507</v>
      </c>
      <c r="T26" s="2">
        <v>23000</v>
      </c>
      <c r="U26" s="26" t="s">
        <v>45</v>
      </c>
      <c r="V26" s="34">
        <f>AI_Supercomputers!Q40/AI_Supercomputers!I40</f>
        <v>62500</v>
      </c>
      <c r="W26" s="108" t="s">
        <v>45</v>
      </c>
      <c r="X26" s="108" t="s">
        <v>45</v>
      </c>
      <c r="Y26" s="93" t="s">
        <v>45</v>
      </c>
      <c r="Z26" s="766">
        <f>V26/T26</f>
        <v>2.7173913043478262</v>
      </c>
      <c r="AA26">
        <f t="shared" si="3"/>
        <v>18</v>
      </c>
    </row>
    <row r="27" spans="1:29" x14ac:dyDescent="0.35">
      <c r="B27">
        <f t="shared" si="0"/>
        <v>19</v>
      </c>
      <c r="C27" s="23" t="s">
        <v>672</v>
      </c>
      <c r="D27">
        <v>2024</v>
      </c>
      <c r="E27" t="s">
        <v>36</v>
      </c>
      <c r="F27">
        <v>1</v>
      </c>
      <c r="G27">
        <v>5</v>
      </c>
      <c r="H27" t="s">
        <v>1229</v>
      </c>
      <c r="I27" s="128">
        <f>J27*(1/I$100)</f>
        <v>7812.5</v>
      </c>
      <c r="J27" s="34">
        <f>AI_Supercomputers!M41/AI_Supercomputers!I41</f>
        <v>18750</v>
      </c>
      <c r="K27" s="34"/>
      <c r="L27" s="750">
        <v>44</v>
      </c>
      <c r="M27" s="108">
        <v>21000000</v>
      </c>
      <c r="N27" s="2">
        <f>(J27*Calc_Moores_Law!R$47)/AB$4</f>
        <v>161061.27359999999</v>
      </c>
      <c r="O27" s="2">
        <v>4000</v>
      </c>
      <c r="P27" s="185">
        <f>P26</f>
        <v>1500000</v>
      </c>
      <c r="Q27" s="2">
        <v>46225</v>
      </c>
      <c r="R27" s="2">
        <v>1</v>
      </c>
      <c r="S27" s="24">
        <f>(O27*1000/Q27)/R27</f>
        <v>86.53326122228232</v>
      </c>
      <c r="T27" s="2">
        <f>T26</f>
        <v>23000</v>
      </c>
      <c r="U27" s="26" t="s">
        <v>45</v>
      </c>
      <c r="V27" s="34">
        <v>125000</v>
      </c>
      <c r="W27" s="108" t="s">
        <v>45</v>
      </c>
      <c r="X27" s="108" t="s">
        <v>45</v>
      </c>
      <c r="Y27" s="93" t="s">
        <v>45</v>
      </c>
      <c r="Z27" s="766">
        <f>V27/T27</f>
        <v>5.4347826086956523</v>
      </c>
      <c r="AA27">
        <f t="shared" si="3"/>
        <v>19</v>
      </c>
    </row>
    <row r="28" spans="1:29" x14ac:dyDescent="0.35">
      <c r="B28">
        <f t="shared" si="0"/>
        <v>20</v>
      </c>
      <c r="C28" s="23" t="s">
        <v>2183</v>
      </c>
      <c r="D28" s="7" t="s">
        <v>1875</v>
      </c>
      <c r="E28" t="s">
        <v>2182</v>
      </c>
      <c r="F28">
        <v>1</v>
      </c>
      <c r="G28" s="7">
        <v>16</v>
      </c>
      <c r="H28" s="421" t="s">
        <v>2190</v>
      </c>
      <c r="I28" s="733">
        <f>L28*(1/I$100)</f>
        <v>9.583333333333334E-2</v>
      </c>
      <c r="J28" s="743" t="s">
        <v>45</v>
      </c>
      <c r="K28" s="743"/>
      <c r="L28" s="413">
        <v>0.23</v>
      </c>
      <c r="M28" s="108">
        <v>80000</v>
      </c>
      <c r="N28" s="34" t="s">
        <v>45</v>
      </c>
      <c r="O28" s="34" t="s">
        <v>45</v>
      </c>
      <c r="P28" s="34" t="s">
        <v>45</v>
      </c>
      <c r="Q28" s="2">
        <v>725</v>
      </c>
      <c r="R28" s="2">
        <v>1</v>
      </c>
      <c r="S28" s="34" t="s">
        <v>45</v>
      </c>
      <c r="T28" s="34">
        <v>215</v>
      </c>
      <c r="U28" s="26" t="s">
        <v>45</v>
      </c>
      <c r="V28" s="34">
        <v>188</v>
      </c>
      <c r="W28" s="108">
        <v>750</v>
      </c>
      <c r="X28" s="108" t="s">
        <v>45</v>
      </c>
      <c r="Y28" s="93" t="s">
        <v>45</v>
      </c>
      <c r="Z28" s="766">
        <f>V28/T28</f>
        <v>0.87441860465116283</v>
      </c>
      <c r="AA28">
        <f t="shared" si="3"/>
        <v>20</v>
      </c>
      <c r="AB28" t="s">
        <v>2189</v>
      </c>
      <c r="AC28" t="e">
        <f>10440*J28</f>
        <v>#VALUE!</v>
      </c>
    </row>
    <row r="29" spans="1:29" x14ac:dyDescent="0.35">
      <c r="B29">
        <f t="shared" si="0"/>
        <v>21</v>
      </c>
      <c r="C29" s="23" t="s">
        <v>2184</v>
      </c>
      <c r="D29" s="7" t="s">
        <v>2181</v>
      </c>
      <c r="E29" t="s">
        <v>2182</v>
      </c>
      <c r="F29">
        <v>1</v>
      </c>
      <c r="G29" s="7">
        <v>4</v>
      </c>
      <c r="H29" s="421" t="s">
        <v>2187</v>
      </c>
      <c r="I29" s="734" t="s">
        <v>45</v>
      </c>
      <c r="J29" s="743" t="s">
        <v>45</v>
      </c>
      <c r="K29" s="743"/>
      <c r="L29" s="750" t="s">
        <v>45</v>
      </c>
      <c r="M29" s="108" t="s">
        <v>45</v>
      </c>
      <c r="N29" s="34" t="s">
        <v>45</v>
      </c>
      <c r="O29" s="34" t="s">
        <v>45</v>
      </c>
      <c r="P29" s="34" t="s">
        <v>45</v>
      </c>
      <c r="Q29" s="34" t="s">
        <v>45</v>
      </c>
      <c r="R29" s="34" t="s">
        <v>45</v>
      </c>
      <c r="S29" s="34" t="s">
        <v>45</v>
      </c>
      <c r="T29" s="34" t="s">
        <v>45</v>
      </c>
      <c r="U29" s="34" t="s">
        <v>45</v>
      </c>
      <c r="V29" s="34" t="s">
        <v>45</v>
      </c>
      <c r="W29" s="108" t="s">
        <v>45</v>
      </c>
      <c r="X29" s="108" t="s">
        <v>45</v>
      </c>
      <c r="Y29" s="93" t="s">
        <v>45</v>
      </c>
      <c r="Z29" s="767" t="s">
        <v>45</v>
      </c>
      <c r="AA29">
        <f t="shared" si="3"/>
        <v>21</v>
      </c>
    </row>
    <row r="30" spans="1:29" x14ac:dyDescent="0.35">
      <c r="B30">
        <f t="shared" si="0"/>
        <v>22</v>
      </c>
      <c r="C30" s="23" t="s">
        <v>154</v>
      </c>
      <c r="D30">
        <v>2023</v>
      </c>
      <c r="E30" t="s">
        <v>458</v>
      </c>
      <c r="F30">
        <v>13</v>
      </c>
      <c r="G30" s="7" t="s">
        <v>155</v>
      </c>
      <c r="H30" t="s">
        <v>1229</v>
      </c>
      <c r="I30" s="128">
        <f>J30*(1/I$100)</f>
        <v>53.333333333333336</v>
      </c>
      <c r="J30" s="2">
        <v>128</v>
      </c>
      <c r="K30" s="34"/>
      <c r="L30" s="750" t="s">
        <v>45</v>
      </c>
      <c r="M30" s="108">
        <v>5200</v>
      </c>
      <c r="N30" s="2">
        <f>(J30*Calc_Moores_Law!R$47)/AB$4</f>
        <v>1099.5116277760001</v>
      </c>
      <c r="O30">
        <v>146</v>
      </c>
      <c r="P30" s="401" t="s">
        <v>45</v>
      </c>
      <c r="Q30">
        <v>1017</v>
      </c>
      <c r="R30">
        <v>2</v>
      </c>
      <c r="S30" s="24">
        <f t="shared" si="1"/>
        <v>71.779744346116033</v>
      </c>
      <c r="T30" s="2">
        <v>600</v>
      </c>
      <c r="U30" s="6">
        <v>48</v>
      </c>
      <c r="V30" s="2">
        <v>383</v>
      </c>
      <c r="W30" s="108">
        <f>V30</f>
        <v>383</v>
      </c>
      <c r="X30" s="108" t="s">
        <v>45</v>
      </c>
      <c r="Y30" s="12">
        <f>U30/T30</f>
        <v>0.08</v>
      </c>
      <c r="Z30" s="766">
        <f>W30/T30</f>
        <v>0.63833333333333331</v>
      </c>
      <c r="AA30">
        <f t="shared" si="3"/>
        <v>22</v>
      </c>
    </row>
    <row r="31" spans="1:29" x14ac:dyDescent="0.35">
      <c r="B31">
        <f t="shared" si="0"/>
        <v>23</v>
      </c>
      <c r="C31" s="23" t="s">
        <v>599</v>
      </c>
      <c r="D31">
        <v>2022</v>
      </c>
      <c r="E31" t="s">
        <v>750</v>
      </c>
      <c r="F31">
        <v>1</v>
      </c>
      <c r="G31" s="7">
        <v>7</v>
      </c>
      <c r="H31" t="s">
        <v>1229</v>
      </c>
      <c r="I31" s="128">
        <f>J31*(1/I$100)</f>
        <v>40</v>
      </c>
      <c r="J31" s="2">
        <v>96</v>
      </c>
      <c r="K31" s="34"/>
      <c r="L31" s="750" t="s">
        <v>45</v>
      </c>
      <c r="M31" s="108">
        <v>2450</v>
      </c>
      <c r="N31" s="2">
        <f>(J31*Calc_Moores_Law!R$47)/AB$4</f>
        <v>824.63372083199999</v>
      </c>
      <c r="O31" s="7" t="s">
        <v>45</v>
      </c>
      <c r="P31" s="401" t="s">
        <v>45</v>
      </c>
      <c r="Q31" s="7" t="s">
        <v>45</v>
      </c>
      <c r="R31" s="7" t="s">
        <v>45</v>
      </c>
      <c r="S31" s="92" t="s">
        <v>45</v>
      </c>
      <c r="T31" s="2">
        <v>600</v>
      </c>
      <c r="U31" s="7" t="s">
        <v>45</v>
      </c>
      <c r="V31" s="7" t="s">
        <v>45</v>
      </c>
      <c r="W31" s="108">
        <f>W11*2</f>
        <v>624</v>
      </c>
      <c r="X31" s="108" t="s">
        <v>45</v>
      </c>
      <c r="Y31" s="93" t="s">
        <v>45</v>
      </c>
      <c r="Z31" s="766">
        <f>W31/T31</f>
        <v>1.04</v>
      </c>
      <c r="AA31">
        <f t="shared" si="3"/>
        <v>23</v>
      </c>
    </row>
    <row r="32" spans="1:29" x14ac:dyDescent="0.35">
      <c r="B32">
        <f t="shared" si="0"/>
        <v>24</v>
      </c>
      <c r="C32" s="23" t="s">
        <v>748</v>
      </c>
      <c r="D32">
        <v>2024</v>
      </c>
      <c r="E32" t="s">
        <v>750</v>
      </c>
      <c r="F32">
        <v>1</v>
      </c>
      <c r="G32" s="7">
        <v>5</v>
      </c>
      <c r="H32" t="s">
        <v>1229</v>
      </c>
      <c r="I32" s="128">
        <f>J32*(1/I$100)</f>
        <v>53.333333333333336</v>
      </c>
      <c r="J32" s="2">
        <v>128</v>
      </c>
      <c r="K32" s="34"/>
      <c r="L32" s="750" t="s">
        <v>45</v>
      </c>
      <c r="M32" s="108">
        <v>3700</v>
      </c>
      <c r="N32" s="2">
        <f>(J32*Calc_Moores_Law!R$47)/AB$4</f>
        <v>1099.5116277760001</v>
      </c>
      <c r="O32" s="7" t="s">
        <v>45</v>
      </c>
      <c r="P32" s="401" t="s">
        <v>45</v>
      </c>
      <c r="Q32" s="7" t="s">
        <v>45</v>
      </c>
      <c r="R32" s="7" t="s">
        <v>45</v>
      </c>
      <c r="S32" s="92" t="s">
        <v>45</v>
      </c>
      <c r="T32" s="34">
        <v>900</v>
      </c>
      <c r="U32" s="7" t="s">
        <v>45</v>
      </c>
      <c r="V32" s="7" t="s">
        <v>45</v>
      </c>
      <c r="W32" s="108">
        <v>1835</v>
      </c>
      <c r="X32" s="108" t="s">
        <v>45</v>
      </c>
      <c r="Y32" s="93" t="s">
        <v>45</v>
      </c>
      <c r="Z32" s="766">
        <f>W32/T32</f>
        <v>2.0388888888888888</v>
      </c>
      <c r="AA32">
        <f t="shared" si="3"/>
        <v>24</v>
      </c>
    </row>
    <row r="33" spans="2:28" x14ac:dyDescent="0.35">
      <c r="B33">
        <f t="shared" si="0"/>
        <v>25</v>
      </c>
      <c r="C33" s="23" t="s">
        <v>580</v>
      </c>
      <c r="D33">
        <v>2021</v>
      </c>
      <c r="E33" t="s">
        <v>399</v>
      </c>
      <c r="F33">
        <v>1</v>
      </c>
      <c r="G33" s="7">
        <v>7</v>
      </c>
      <c r="H33" t="s">
        <v>1229</v>
      </c>
      <c r="I33" s="128">
        <f>J33*(1/I$100)</f>
        <v>13.333333333333334</v>
      </c>
      <c r="J33" s="2">
        <v>32</v>
      </c>
      <c r="K33" s="34"/>
      <c r="L33" s="750" t="s">
        <v>45</v>
      </c>
      <c r="M33" s="108">
        <v>1200</v>
      </c>
      <c r="N33" s="2">
        <f>(J33*Calc_Moores_Law!R$47)/AB$4</f>
        <v>274.87790694400002</v>
      </c>
      <c r="O33">
        <v>31</v>
      </c>
      <c r="P33" s="401">
        <f>P11*(2/3)</f>
        <v>4000</v>
      </c>
      <c r="Q33">
        <v>780</v>
      </c>
      <c r="R33">
        <v>1</v>
      </c>
      <c r="S33" s="24">
        <f>(O33*1000/Q33)/R33</f>
        <v>39.743589743589745</v>
      </c>
      <c r="T33" s="2">
        <v>192</v>
      </c>
      <c r="U33" s="7" t="s">
        <v>45</v>
      </c>
      <c r="V33" s="7" t="s">
        <v>45</v>
      </c>
      <c r="W33" s="108">
        <v>275</v>
      </c>
      <c r="X33" s="108" t="s">
        <v>45</v>
      </c>
      <c r="Y33" s="93" t="s">
        <v>45</v>
      </c>
      <c r="Z33" s="766">
        <f t="shared" si="4"/>
        <v>1.4322916666666667</v>
      </c>
      <c r="AA33">
        <f t="shared" si="3"/>
        <v>25</v>
      </c>
    </row>
    <row r="34" spans="2:28" x14ac:dyDescent="0.35">
      <c r="B34">
        <f t="shared" si="0"/>
        <v>26</v>
      </c>
      <c r="C34" s="23" t="s">
        <v>584</v>
      </c>
      <c r="D34">
        <v>2020</v>
      </c>
      <c r="E34" t="s">
        <v>1001</v>
      </c>
      <c r="F34">
        <v>1</v>
      </c>
      <c r="G34" s="7">
        <v>7</v>
      </c>
      <c r="H34" t="s">
        <v>1229</v>
      </c>
      <c r="I34" s="128">
        <f>J34*(1/I$100)</f>
        <v>3.3333333333333335</v>
      </c>
      <c r="J34" s="2">
        <v>8</v>
      </c>
      <c r="K34" s="34"/>
      <c r="L34" s="750" t="s">
        <v>45</v>
      </c>
      <c r="M34" s="108">
        <v>614</v>
      </c>
      <c r="N34" s="2">
        <f>(J34*Calc_Moores_Law!R$47)/AB$4</f>
        <v>68.719476736000004</v>
      </c>
      <c r="O34">
        <v>16</v>
      </c>
      <c r="P34" s="401" t="s">
        <v>45</v>
      </c>
      <c r="Q34">
        <v>400</v>
      </c>
      <c r="R34">
        <v>1</v>
      </c>
      <c r="S34" s="24">
        <f>(O34*1000/Q34)/R34</f>
        <v>40</v>
      </c>
      <c r="T34" s="2">
        <v>175</v>
      </c>
      <c r="U34" s="7" t="s">
        <v>45</v>
      </c>
      <c r="V34" s="7" t="s">
        <v>45</v>
      </c>
      <c r="W34" s="108">
        <v>138</v>
      </c>
      <c r="X34" s="108" t="s">
        <v>45</v>
      </c>
      <c r="Y34" s="93" t="s">
        <v>45</v>
      </c>
      <c r="Z34" s="766">
        <f t="shared" si="4"/>
        <v>0.78857142857142859</v>
      </c>
      <c r="AA34">
        <f t="shared" si="3"/>
        <v>26</v>
      </c>
    </row>
    <row r="35" spans="2:28" x14ac:dyDescent="0.35">
      <c r="B35">
        <f t="shared" si="0"/>
        <v>27</v>
      </c>
      <c r="C35" s="23" t="s">
        <v>574</v>
      </c>
      <c r="D35">
        <v>2023</v>
      </c>
      <c r="E35" t="s">
        <v>399</v>
      </c>
      <c r="F35" s="7" t="s">
        <v>45</v>
      </c>
      <c r="G35" s="7">
        <v>5</v>
      </c>
      <c r="H35" t="s">
        <v>1229</v>
      </c>
      <c r="I35" s="128">
        <f>J35*(1/I$100)</f>
        <v>6.666666666666667</v>
      </c>
      <c r="J35" s="2">
        <v>16</v>
      </c>
      <c r="K35" s="34"/>
      <c r="L35" s="750" t="s">
        <v>45</v>
      </c>
      <c r="M35" s="108">
        <v>819</v>
      </c>
      <c r="N35" s="2">
        <f>(J35*Calc_Moores_Law!R$47)/AB$4</f>
        <v>137.43895347200001</v>
      </c>
      <c r="O35" s="7" t="s">
        <v>45</v>
      </c>
      <c r="P35" s="401" t="s">
        <v>45</v>
      </c>
      <c r="Q35" s="7">
        <v>350</v>
      </c>
      <c r="R35">
        <v>1</v>
      </c>
      <c r="S35" s="7" t="s">
        <v>45</v>
      </c>
      <c r="T35" s="7" t="s">
        <v>45</v>
      </c>
      <c r="U35" s="7" t="s">
        <v>45</v>
      </c>
      <c r="V35" s="7" t="s">
        <v>45</v>
      </c>
      <c r="W35" s="108">
        <v>393</v>
      </c>
      <c r="X35" s="108" t="s">
        <v>45</v>
      </c>
      <c r="Y35" s="93" t="s">
        <v>45</v>
      </c>
      <c r="Z35" s="768" t="s">
        <v>45</v>
      </c>
      <c r="AA35">
        <f t="shared" si="3"/>
        <v>27</v>
      </c>
    </row>
    <row r="36" spans="2:28" x14ac:dyDescent="0.35">
      <c r="B36">
        <f t="shared" si="0"/>
        <v>28</v>
      </c>
      <c r="C36" s="23" t="s">
        <v>1149</v>
      </c>
      <c r="D36" s="7" t="s">
        <v>768</v>
      </c>
      <c r="E36" t="s">
        <v>399</v>
      </c>
      <c r="F36" s="7">
        <v>1</v>
      </c>
      <c r="G36" s="7">
        <v>4</v>
      </c>
      <c r="H36" t="s">
        <v>1229</v>
      </c>
      <c r="I36" s="128">
        <f>J36*(1/I$100)</f>
        <v>13.333333333333334</v>
      </c>
      <c r="J36" s="2">
        <v>32</v>
      </c>
      <c r="K36" s="34"/>
      <c r="L36" s="750" t="s">
        <v>45</v>
      </c>
      <c r="M36" s="108">
        <v>1640</v>
      </c>
      <c r="N36" s="2">
        <f>(J36*Calc_Moores_Law!R$47)/AB$4</f>
        <v>274.87790694400002</v>
      </c>
      <c r="O36" s="7" t="s">
        <v>45</v>
      </c>
      <c r="P36" s="401" t="s">
        <v>45</v>
      </c>
      <c r="Q36" s="7">
        <v>790</v>
      </c>
      <c r="R36">
        <v>1</v>
      </c>
      <c r="S36" s="7" t="s">
        <v>45</v>
      </c>
      <c r="T36" s="7" t="s">
        <v>45</v>
      </c>
      <c r="U36" s="7" t="s">
        <v>45</v>
      </c>
      <c r="V36" s="7">
        <v>926</v>
      </c>
      <c r="W36" s="108">
        <v>1852</v>
      </c>
      <c r="X36" s="108" t="s">
        <v>45</v>
      </c>
      <c r="Y36" s="93" t="s">
        <v>45</v>
      </c>
      <c r="Z36" s="768" t="s">
        <v>45</v>
      </c>
      <c r="AA36">
        <f t="shared" si="3"/>
        <v>28</v>
      </c>
    </row>
    <row r="37" spans="2:28" x14ac:dyDescent="0.35">
      <c r="B37">
        <f t="shared" si="0"/>
        <v>29</v>
      </c>
      <c r="C37" s="23" t="s">
        <v>3202</v>
      </c>
      <c r="D37" s="7" t="s">
        <v>3153</v>
      </c>
      <c r="E37" t="s">
        <v>3203</v>
      </c>
      <c r="F37" s="7">
        <v>1</v>
      </c>
      <c r="G37" s="7"/>
      <c r="H37" t="s">
        <v>1229</v>
      </c>
      <c r="I37" s="128">
        <f>J37*(1/I$102)</f>
        <v>320</v>
      </c>
      <c r="J37" s="2">
        <v>192</v>
      </c>
      <c r="K37" s="34" t="s">
        <v>45</v>
      </c>
      <c r="L37" s="750" t="s">
        <v>45</v>
      </c>
      <c r="M37" s="108">
        <v>7300</v>
      </c>
      <c r="N37" s="2">
        <f>(J37*Calc_Moores_Law!R$47)/AB$4</f>
        <v>1649.267441664</v>
      </c>
      <c r="O37" s="7"/>
      <c r="P37" s="401"/>
      <c r="Q37" s="7"/>
      <c r="S37" s="7"/>
      <c r="T37" s="7">
        <v>800</v>
      </c>
      <c r="U37" s="7"/>
      <c r="V37" s="7"/>
      <c r="W37" s="108">
        <f>42500000/9216</f>
        <v>4611.5451388888887</v>
      </c>
      <c r="X37" s="108"/>
      <c r="Y37" s="93"/>
      <c r="Z37" s="766">
        <f>W37/T37</f>
        <v>5.7644314236111107</v>
      </c>
      <c r="AA37">
        <f t="shared" si="3"/>
        <v>29</v>
      </c>
    </row>
    <row r="38" spans="2:28" x14ac:dyDescent="0.35">
      <c r="B38">
        <f t="shared" si="0"/>
        <v>30</v>
      </c>
      <c r="C38" s="23" t="s">
        <v>577</v>
      </c>
      <c r="D38">
        <v>2022</v>
      </c>
      <c r="E38" t="s">
        <v>583</v>
      </c>
      <c r="F38" s="7" t="s">
        <v>45</v>
      </c>
      <c r="G38" s="7" t="s">
        <v>45</v>
      </c>
      <c r="H38" t="s">
        <v>1229</v>
      </c>
      <c r="I38" s="128">
        <f>J38*(1/I$100)</f>
        <v>13.333333333333334</v>
      </c>
      <c r="J38" s="2">
        <v>32</v>
      </c>
      <c r="K38" s="34"/>
      <c r="L38" s="750" t="s">
        <v>45</v>
      </c>
      <c r="M38" s="108">
        <v>820</v>
      </c>
      <c r="N38" s="2">
        <f>(J38*Calc_Moores_Law!R$47)/AB$4</f>
        <v>274.87790694400002</v>
      </c>
      <c r="O38" s="7" t="s">
        <v>45</v>
      </c>
      <c r="P38" s="401" t="s">
        <v>45</v>
      </c>
      <c r="Q38" s="7" t="s">
        <v>45</v>
      </c>
      <c r="R38" s="7" t="s">
        <v>45</v>
      </c>
      <c r="S38" s="7" t="s">
        <v>45</v>
      </c>
      <c r="T38" s="7" t="s">
        <v>45</v>
      </c>
      <c r="U38" s="7">
        <v>47.5</v>
      </c>
      <c r="V38" s="2">
        <v>190</v>
      </c>
      <c r="W38" s="108">
        <v>380</v>
      </c>
      <c r="X38" s="108" t="s">
        <v>45</v>
      </c>
      <c r="Y38" s="93" t="s">
        <v>45</v>
      </c>
      <c r="Z38" s="768" t="s">
        <v>45</v>
      </c>
      <c r="AA38">
        <f t="shared" si="3"/>
        <v>30</v>
      </c>
    </row>
    <row r="39" spans="2:28" x14ac:dyDescent="0.35">
      <c r="B39">
        <f t="shared" si="0"/>
        <v>31</v>
      </c>
      <c r="C39" s="23" t="s">
        <v>1244</v>
      </c>
      <c r="D39" s="7" t="s">
        <v>1245</v>
      </c>
      <c r="E39" t="s">
        <v>583</v>
      </c>
      <c r="F39" s="7" t="s">
        <v>45</v>
      </c>
      <c r="G39" s="7" t="s">
        <v>45</v>
      </c>
      <c r="H39" t="s">
        <v>1229</v>
      </c>
      <c r="I39" s="128">
        <f>J39*(1/I$100)</f>
        <v>40</v>
      </c>
      <c r="J39" s="2">
        <v>96</v>
      </c>
      <c r="K39" s="34"/>
      <c r="L39" s="750" t="s">
        <v>45</v>
      </c>
      <c r="M39" s="108" t="s">
        <v>45</v>
      </c>
      <c r="N39" s="7" t="s">
        <v>45</v>
      </c>
      <c r="O39" s="7" t="s">
        <v>45</v>
      </c>
      <c r="P39" s="401" t="s">
        <v>45</v>
      </c>
      <c r="Q39" s="7" t="s">
        <v>45</v>
      </c>
      <c r="R39" s="7" t="s">
        <v>45</v>
      </c>
      <c r="S39" s="7" t="s">
        <v>45</v>
      </c>
      <c r="T39" s="7" t="s">
        <v>45</v>
      </c>
      <c r="U39" s="7" t="s">
        <v>45</v>
      </c>
      <c r="V39" s="7" t="s">
        <v>45</v>
      </c>
      <c r="W39" s="108">
        <v>650</v>
      </c>
      <c r="X39" s="108" t="s">
        <v>45</v>
      </c>
      <c r="Y39" s="93" t="s">
        <v>45</v>
      </c>
      <c r="Z39" s="768" t="s">
        <v>45</v>
      </c>
      <c r="AA39">
        <f t="shared" si="3"/>
        <v>31</v>
      </c>
    </row>
    <row r="40" spans="2:28" x14ac:dyDescent="0.35">
      <c r="B40">
        <f t="shared" si="0"/>
        <v>32</v>
      </c>
      <c r="C40" s="23" t="s">
        <v>591</v>
      </c>
      <c r="D40">
        <v>2021</v>
      </c>
      <c r="E40" t="s">
        <v>399</v>
      </c>
      <c r="F40" s="7">
        <v>1</v>
      </c>
      <c r="G40" s="7">
        <v>7</v>
      </c>
      <c r="H40" t="s">
        <v>1229</v>
      </c>
      <c r="I40" s="128">
        <f>J40*(1/I$100)</f>
        <v>26.666666666666668</v>
      </c>
      <c r="J40" s="2">
        <v>64</v>
      </c>
      <c r="K40" s="34"/>
      <c r="L40" s="750" t="s">
        <v>45</v>
      </c>
      <c r="M40" s="108">
        <v>176</v>
      </c>
      <c r="N40" s="2">
        <f>(J40*Calc_Moores_Law!R$47)/AB$4</f>
        <v>549.75581388800003</v>
      </c>
      <c r="O40" s="7" t="s">
        <v>45</v>
      </c>
      <c r="P40" s="401" t="s">
        <v>45</v>
      </c>
      <c r="Q40" s="7">
        <v>373</v>
      </c>
      <c r="R40" s="7">
        <v>1</v>
      </c>
      <c r="S40" s="7" t="s">
        <v>45</v>
      </c>
      <c r="T40" s="7">
        <v>25</v>
      </c>
      <c r="U40" s="7" t="s">
        <v>45</v>
      </c>
      <c r="V40" s="2">
        <v>51.2</v>
      </c>
      <c r="W40" s="108">
        <v>102.4</v>
      </c>
      <c r="X40" s="108" t="s">
        <v>45</v>
      </c>
      <c r="Y40" s="93" t="s">
        <v>45</v>
      </c>
      <c r="Z40" s="766">
        <f>W40/T40</f>
        <v>4.0960000000000001</v>
      </c>
      <c r="AA40">
        <f t="shared" si="3"/>
        <v>32</v>
      </c>
    </row>
    <row r="41" spans="2:28" x14ac:dyDescent="0.35">
      <c r="B41">
        <f t="shared" si="0"/>
        <v>33</v>
      </c>
      <c r="C41" s="23" t="s">
        <v>1995</v>
      </c>
      <c r="D41" s="7" t="s">
        <v>1996</v>
      </c>
      <c r="E41" t="s">
        <v>399</v>
      </c>
      <c r="F41" s="7">
        <v>1</v>
      </c>
      <c r="G41" s="7">
        <v>5</v>
      </c>
      <c r="H41" t="s">
        <v>1229</v>
      </c>
      <c r="I41" s="128">
        <f>J41*(1/I$100)</f>
        <v>53.333333333333336</v>
      </c>
      <c r="J41" s="2">
        <v>128</v>
      </c>
      <c r="K41" s="34"/>
      <c r="L41" s="750" t="s">
        <v>45</v>
      </c>
      <c r="M41" s="108" t="s">
        <v>45</v>
      </c>
      <c r="N41" s="34" t="s">
        <v>45</v>
      </c>
      <c r="O41" s="7" t="s">
        <v>45</v>
      </c>
      <c r="P41" s="401" t="s">
        <v>45</v>
      </c>
      <c r="Q41" s="7">
        <v>421</v>
      </c>
      <c r="R41" s="7" t="s">
        <v>45</v>
      </c>
      <c r="S41" s="7" t="s">
        <v>45</v>
      </c>
      <c r="T41" s="7">
        <v>90</v>
      </c>
      <c r="U41" s="7" t="s">
        <v>45</v>
      </c>
      <c r="V41" s="2">
        <v>354</v>
      </c>
      <c r="W41" s="108">
        <v>708</v>
      </c>
      <c r="X41" s="108" t="s">
        <v>45</v>
      </c>
      <c r="Y41" s="93" t="s">
        <v>45</v>
      </c>
      <c r="Z41" s="766">
        <f>W41/T41</f>
        <v>7.8666666666666663</v>
      </c>
      <c r="AA41">
        <f t="shared" si="3"/>
        <v>33</v>
      </c>
    </row>
    <row r="42" spans="2:28" x14ac:dyDescent="0.35">
      <c r="B42">
        <f t="shared" si="0"/>
        <v>34</v>
      </c>
      <c r="C42" s="23" t="s">
        <v>1002</v>
      </c>
      <c r="D42" t="s">
        <v>1998</v>
      </c>
      <c r="E42" t="s">
        <v>399</v>
      </c>
      <c r="F42" s="7" t="s">
        <v>45</v>
      </c>
      <c r="G42" s="7">
        <v>5</v>
      </c>
      <c r="H42" t="s">
        <v>1229</v>
      </c>
      <c r="I42" s="108" t="s">
        <v>45</v>
      </c>
      <c r="J42" s="34" t="s">
        <v>45</v>
      </c>
      <c r="K42" s="34"/>
      <c r="L42" s="750" t="s">
        <v>45</v>
      </c>
      <c r="M42" s="108" t="s">
        <v>45</v>
      </c>
      <c r="N42" s="34" t="s">
        <v>45</v>
      </c>
      <c r="O42" s="7" t="s">
        <v>45</v>
      </c>
      <c r="P42" s="401" t="s">
        <v>45</v>
      </c>
      <c r="Q42" s="7" t="s">
        <v>45</v>
      </c>
      <c r="R42" s="7" t="s">
        <v>45</v>
      </c>
      <c r="S42" s="7" t="s">
        <v>45</v>
      </c>
      <c r="T42" s="7" t="s">
        <v>45</v>
      </c>
      <c r="U42" s="7" t="s">
        <v>45</v>
      </c>
      <c r="V42" s="34" t="s">
        <v>45</v>
      </c>
      <c r="W42" s="108" t="s">
        <v>45</v>
      </c>
      <c r="X42" s="108" t="s">
        <v>45</v>
      </c>
      <c r="Y42" s="93" t="s">
        <v>45</v>
      </c>
      <c r="Z42" s="768" t="s">
        <v>45</v>
      </c>
      <c r="AA42">
        <f t="shared" si="3"/>
        <v>34</v>
      </c>
    </row>
    <row r="43" spans="2:28" x14ac:dyDescent="0.35">
      <c r="B43">
        <f t="shared" si="0"/>
        <v>35</v>
      </c>
      <c r="C43" s="23" t="s">
        <v>30</v>
      </c>
      <c r="D43">
        <v>2022</v>
      </c>
      <c r="E43" t="s">
        <v>36</v>
      </c>
      <c r="F43">
        <v>1</v>
      </c>
      <c r="G43">
        <v>7</v>
      </c>
      <c r="H43" t="s">
        <v>1229</v>
      </c>
      <c r="I43" s="128">
        <f>J43*(1/I$100)</f>
        <v>1.9888888888888889</v>
      </c>
      <c r="J43" s="34">
        <f>AI_Supercomputers!M26/AI_Supercomputers!I26</f>
        <v>4.7733333333333334</v>
      </c>
      <c r="K43" s="34"/>
      <c r="L43" s="750" t="s">
        <v>45</v>
      </c>
      <c r="M43" s="108">
        <v>4000</v>
      </c>
      <c r="N43" s="34" t="s">
        <v>45</v>
      </c>
      <c r="O43">
        <v>50</v>
      </c>
      <c r="P43" s="401" t="s">
        <v>45</v>
      </c>
      <c r="Q43">
        <v>645</v>
      </c>
      <c r="R43">
        <v>1</v>
      </c>
      <c r="S43" s="24">
        <f t="shared" si="1"/>
        <v>77.519379844961236</v>
      </c>
      <c r="T43" s="2">
        <v>400</v>
      </c>
      <c r="U43" s="6">
        <v>22.6</v>
      </c>
      <c r="V43" s="7" t="s">
        <v>45</v>
      </c>
      <c r="W43" s="128">
        <v>362</v>
      </c>
      <c r="X43" s="108" t="s">
        <v>45</v>
      </c>
      <c r="Y43" s="12">
        <f>U43/T43</f>
        <v>5.6500000000000002E-2</v>
      </c>
      <c r="Z43" s="766">
        <f>W43/T43</f>
        <v>0.90500000000000003</v>
      </c>
      <c r="AA43">
        <f t="shared" si="3"/>
        <v>35</v>
      </c>
    </row>
    <row r="44" spans="2:28" ht="15" thickBot="1" x14ac:dyDescent="0.4">
      <c r="B44">
        <f t="shared" si="0"/>
        <v>36</v>
      </c>
      <c r="C44" s="23" t="s">
        <v>1987</v>
      </c>
      <c r="D44" s="7" t="s">
        <v>1247</v>
      </c>
      <c r="E44" t="s">
        <v>1993</v>
      </c>
      <c r="F44">
        <v>1</v>
      </c>
      <c r="G44" s="7">
        <v>7</v>
      </c>
      <c r="H44" s="7" t="s">
        <v>1989</v>
      </c>
      <c r="I44" s="108" t="s">
        <v>45</v>
      </c>
      <c r="J44" s="34" t="s">
        <v>45</v>
      </c>
      <c r="K44" s="34"/>
      <c r="L44" s="750" t="s">
        <v>45</v>
      </c>
      <c r="M44" s="108" t="s">
        <v>45</v>
      </c>
      <c r="N44" s="34" t="s">
        <v>45</v>
      </c>
      <c r="O44" s="7">
        <v>53</v>
      </c>
      <c r="P44" s="401" t="s">
        <v>45</v>
      </c>
      <c r="Q44" s="7" t="s">
        <v>45</v>
      </c>
      <c r="R44" s="7" t="s">
        <v>45</v>
      </c>
      <c r="S44" s="92" t="s">
        <v>45</v>
      </c>
      <c r="T44" s="34">
        <v>310</v>
      </c>
      <c r="U44" s="26" t="s">
        <v>45</v>
      </c>
      <c r="V44" s="7">
        <v>800</v>
      </c>
      <c r="W44" s="108" t="s">
        <v>45</v>
      </c>
      <c r="X44" s="108" t="s">
        <v>45</v>
      </c>
      <c r="Y44" s="93" t="s">
        <v>45</v>
      </c>
      <c r="Z44" s="768" t="s">
        <v>45</v>
      </c>
      <c r="AA44">
        <f t="shared" si="3"/>
        <v>36</v>
      </c>
      <c r="AB44" t="s">
        <v>1992</v>
      </c>
    </row>
    <row r="45" spans="2:28" ht="21.5" thickTop="1" x14ac:dyDescent="0.5">
      <c r="B45">
        <f t="shared" si="0"/>
        <v>37</v>
      </c>
      <c r="C45" s="702" t="s">
        <v>1272</v>
      </c>
      <c r="D45" s="461"/>
      <c r="E45" s="461"/>
      <c r="F45" s="461"/>
      <c r="G45" s="461"/>
      <c r="H45" s="461"/>
      <c r="I45" s="462"/>
      <c r="J45" s="463"/>
      <c r="K45" s="463"/>
      <c r="L45" s="629"/>
      <c r="M45" s="463"/>
      <c r="N45" s="462"/>
      <c r="O45" s="462"/>
      <c r="P45" s="464"/>
      <c r="Q45" s="462"/>
      <c r="R45" s="462"/>
      <c r="S45" s="465"/>
      <c r="T45" s="462"/>
      <c r="U45" s="466"/>
      <c r="V45" s="463"/>
      <c r="W45" s="463"/>
      <c r="X45" s="463"/>
      <c r="Y45" s="467"/>
      <c r="Z45" s="468"/>
      <c r="AA45">
        <f t="shared" si="3"/>
        <v>37</v>
      </c>
    </row>
    <row r="46" spans="2:28" x14ac:dyDescent="0.35">
      <c r="B46">
        <f t="shared" si="0"/>
        <v>38</v>
      </c>
      <c r="C46" s="23" t="s">
        <v>1238</v>
      </c>
      <c r="D46">
        <v>2019</v>
      </c>
      <c r="E46" t="s">
        <v>272</v>
      </c>
      <c r="F46">
        <v>1</v>
      </c>
      <c r="G46">
        <v>14</v>
      </c>
      <c r="H46" s="37" t="s">
        <v>1230</v>
      </c>
      <c r="I46" s="157">
        <f t="shared" ref="I46:I55" si="5">J46*(1/S$106)</f>
        <v>1.3106666666666666</v>
      </c>
      <c r="J46" s="34">
        <v>32</v>
      </c>
      <c r="K46" s="34"/>
      <c r="L46" s="750" t="s">
        <v>45</v>
      </c>
      <c r="M46" s="128">
        <v>63.58</v>
      </c>
      <c r="N46" s="2">
        <f>(J46*Calc_Moores_Law!R$47)/AB$4</f>
        <v>274.87790694400002</v>
      </c>
      <c r="O46">
        <v>6</v>
      </c>
      <c r="P46" s="185">
        <v>1200</v>
      </c>
      <c r="Q46">
        <v>260</v>
      </c>
      <c r="R46">
        <v>1</v>
      </c>
      <c r="S46" s="24">
        <f t="shared" si="1"/>
        <v>23.076923076923077</v>
      </c>
      <c r="T46" s="2">
        <v>36</v>
      </c>
      <c r="U46" s="83">
        <v>0.6</v>
      </c>
      <c r="V46" s="7" t="s">
        <v>45</v>
      </c>
      <c r="W46" s="128">
        <v>37</v>
      </c>
      <c r="X46" s="108" t="s">
        <v>45</v>
      </c>
      <c r="Y46" s="12">
        <f t="shared" si="2"/>
        <v>1.6666666666666666E-2</v>
      </c>
      <c r="Z46" s="766">
        <f>W46/T46</f>
        <v>1.0277777777777777</v>
      </c>
      <c r="AA46">
        <f t="shared" si="3"/>
        <v>38</v>
      </c>
      <c r="AB46" t="s">
        <v>1367</v>
      </c>
    </row>
    <row r="47" spans="2:28" x14ac:dyDescent="0.35">
      <c r="B47">
        <f t="shared" si="0"/>
        <v>39</v>
      </c>
      <c r="C47" s="23" t="s">
        <v>1239</v>
      </c>
      <c r="D47">
        <v>2023</v>
      </c>
      <c r="E47" t="str">
        <f>E46</f>
        <v>SoC / AI inference, vision</v>
      </c>
      <c r="F47" s="7" t="s">
        <v>45</v>
      </c>
      <c r="G47" s="7" t="s">
        <v>45</v>
      </c>
      <c r="H47" s="37" t="s">
        <v>1230</v>
      </c>
      <c r="I47" s="157">
        <f t="shared" si="5"/>
        <v>5.2426666666666666</v>
      </c>
      <c r="J47" s="34">
        <v>128</v>
      </c>
      <c r="K47" s="34"/>
      <c r="L47" s="750" t="s">
        <v>45</v>
      </c>
      <c r="M47" s="108">
        <f>M54</f>
        <v>204.8</v>
      </c>
      <c r="N47" s="2">
        <f>(J47*Calc_Moores_Law!R$47)/AB$4</f>
        <v>1099.5116277760001</v>
      </c>
      <c r="O47">
        <f>O46*(W47/W46)</f>
        <v>30</v>
      </c>
      <c r="P47" s="185">
        <v>1800</v>
      </c>
      <c r="Q47" s="7" t="s">
        <v>45</v>
      </c>
      <c r="R47" s="7" t="s">
        <v>45</v>
      </c>
      <c r="S47" s="92" t="s">
        <v>45</v>
      </c>
      <c r="T47" s="34">
        <v>100</v>
      </c>
      <c r="U47" s="26" t="s">
        <v>45</v>
      </c>
      <c r="V47" s="34" t="s">
        <v>45</v>
      </c>
      <c r="W47" s="128">
        <f>W46*5</f>
        <v>185</v>
      </c>
      <c r="X47" s="108" t="s">
        <v>45</v>
      </c>
      <c r="Y47" s="93" t="s">
        <v>45</v>
      </c>
      <c r="Z47" s="766">
        <f>W47/T47</f>
        <v>1.85</v>
      </c>
      <c r="AA47">
        <f t="shared" si="3"/>
        <v>39</v>
      </c>
      <c r="AB47" t="s">
        <v>1368</v>
      </c>
    </row>
    <row r="48" spans="2:28" x14ac:dyDescent="0.35">
      <c r="B48">
        <f t="shared" si="0"/>
        <v>40</v>
      </c>
      <c r="C48" s="23" t="s">
        <v>1240</v>
      </c>
      <c r="D48" s="7">
        <v>2026</v>
      </c>
      <c r="E48" t="str">
        <f>E46</f>
        <v>SoC / AI inference, vision</v>
      </c>
      <c r="F48" s="7" t="s">
        <v>45</v>
      </c>
      <c r="G48" s="7" t="s">
        <v>45</v>
      </c>
      <c r="H48" s="37" t="s">
        <v>1228</v>
      </c>
      <c r="I48" s="157">
        <f t="shared" si="5"/>
        <v>20.970666666666666</v>
      </c>
      <c r="J48" s="34">
        <v>512</v>
      </c>
      <c r="K48" s="34"/>
      <c r="L48" s="750" t="s">
        <v>45</v>
      </c>
      <c r="M48" s="108">
        <f>M62</f>
        <v>825</v>
      </c>
      <c r="N48" s="2">
        <f>(J48*Calc_Moores_Law!R$47)/AB$4</f>
        <v>4398.0465111040003</v>
      </c>
      <c r="O48">
        <f>O55</f>
        <v>77</v>
      </c>
      <c r="P48" s="185">
        <f>(J48/1000)*J85+P46</f>
        <v>2224</v>
      </c>
      <c r="Q48" s="7" t="s">
        <v>45</v>
      </c>
      <c r="R48" s="7" t="s">
        <v>45</v>
      </c>
      <c r="S48" s="92" t="s">
        <v>45</v>
      </c>
      <c r="T48" s="34">
        <v>750</v>
      </c>
      <c r="U48" s="26" t="s">
        <v>45</v>
      </c>
      <c r="V48" s="34" t="s">
        <v>45</v>
      </c>
      <c r="W48" s="128">
        <f>X48/2</f>
        <v>925</v>
      </c>
      <c r="X48" s="108">
        <f>W47*10</f>
        <v>1850</v>
      </c>
      <c r="Y48" s="93" t="s">
        <v>45</v>
      </c>
      <c r="Z48" s="766">
        <f>X48/T48</f>
        <v>2.4666666666666668</v>
      </c>
      <c r="AA48">
        <f t="shared" si="3"/>
        <v>40</v>
      </c>
      <c r="AB48" t="s">
        <v>93</v>
      </c>
    </row>
    <row r="49" spans="2:31" x14ac:dyDescent="0.35">
      <c r="B49">
        <f t="shared" si="0"/>
        <v>41</v>
      </c>
      <c r="C49" s="23" t="s">
        <v>1735</v>
      </c>
      <c r="D49" s="7">
        <v>2017</v>
      </c>
      <c r="E49" t="str">
        <f>E47</f>
        <v>SoC / AI inference, vision</v>
      </c>
      <c r="F49" s="7">
        <v>1</v>
      </c>
      <c r="G49" s="7">
        <v>16</v>
      </c>
      <c r="H49" s="37" t="s">
        <v>1228</v>
      </c>
      <c r="I49" s="157">
        <f t="shared" si="5"/>
        <v>0.32766666666666666</v>
      </c>
      <c r="J49" s="34">
        <v>8</v>
      </c>
      <c r="K49" s="34"/>
      <c r="L49" s="750" t="s">
        <v>45</v>
      </c>
      <c r="M49" s="108">
        <v>59.7</v>
      </c>
      <c r="N49" s="2">
        <f>(J49*Calc_Moores_Law!R$47)/AB$4</f>
        <v>68.719476736000004</v>
      </c>
      <c r="O49" s="7" t="s">
        <v>45</v>
      </c>
      <c r="P49" s="185">
        <v>399</v>
      </c>
      <c r="Q49" s="7" t="s">
        <v>45</v>
      </c>
      <c r="R49" s="7" t="s">
        <v>45</v>
      </c>
      <c r="S49" s="92" t="s">
        <v>45</v>
      </c>
      <c r="T49" s="34">
        <v>15</v>
      </c>
      <c r="U49" s="26" t="s">
        <v>45</v>
      </c>
      <c r="V49" s="183">
        <v>1.33</v>
      </c>
      <c r="W49" s="108" t="s">
        <v>45</v>
      </c>
      <c r="X49" s="108" t="s">
        <v>45</v>
      </c>
      <c r="Y49" s="93" t="s">
        <v>45</v>
      </c>
      <c r="Z49" s="766">
        <f>V49/T49</f>
        <v>8.8666666666666671E-2</v>
      </c>
      <c r="AA49">
        <f t="shared" si="3"/>
        <v>41</v>
      </c>
      <c r="AB49" t="s">
        <v>1732</v>
      </c>
    </row>
    <row r="50" spans="2:31" x14ac:dyDescent="0.35">
      <c r="B50">
        <f t="shared" si="0"/>
        <v>42</v>
      </c>
      <c r="C50" s="23" t="s">
        <v>1372</v>
      </c>
      <c r="D50" s="7">
        <v>2022</v>
      </c>
      <c r="E50" t="str">
        <f>E47</f>
        <v>SoC / AI inference, vision</v>
      </c>
      <c r="F50" s="7" t="s">
        <v>45</v>
      </c>
      <c r="G50" s="7">
        <v>8</v>
      </c>
      <c r="H50" t="s">
        <v>1229</v>
      </c>
      <c r="I50" s="157">
        <f t="shared" si="5"/>
        <v>0.32766666666666666</v>
      </c>
      <c r="J50" s="34">
        <v>8</v>
      </c>
      <c r="K50" s="34"/>
      <c r="L50" s="750" t="s">
        <v>45</v>
      </c>
      <c r="M50" s="108">
        <v>68</v>
      </c>
      <c r="N50" s="2">
        <f>(J50*Calc_Moores_Law!R$47)/AB$4</f>
        <v>68.719476736000004</v>
      </c>
      <c r="O50">
        <v>17</v>
      </c>
      <c r="P50" s="401">
        <v>399</v>
      </c>
      <c r="Q50" s="7" t="s">
        <v>45</v>
      </c>
      <c r="R50" s="7" t="s">
        <v>45</v>
      </c>
      <c r="S50" s="92" t="s">
        <v>45</v>
      </c>
      <c r="T50" s="92">
        <v>15</v>
      </c>
      <c r="U50" s="92" t="s">
        <v>45</v>
      </c>
      <c r="V50" s="92" t="s">
        <v>45</v>
      </c>
      <c r="W50" s="128">
        <v>40</v>
      </c>
      <c r="X50" s="108" t="s">
        <v>45</v>
      </c>
      <c r="Y50" s="93" t="s">
        <v>45</v>
      </c>
      <c r="Z50" s="766">
        <f>W50/T50</f>
        <v>2.6666666666666665</v>
      </c>
      <c r="AA50">
        <f t="shared" si="3"/>
        <v>42</v>
      </c>
      <c r="AB50" s="14" t="s">
        <v>1264</v>
      </c>
      <c r="AC50" t="s">
        <v>45</v>
      </c>
    </row>
    <row r="51" spans="2:31" x14ac:dyDescent="0.35">
      <c r="B51">
        <f t="shared" si="0"/>
        <v>43</v>
      </c>
      <c r="C51" s="23" t="s">
        <v>1371</v>
      </c>
      <c r="D51" s="7" t="s">
        <v>1150</v>
      </c>
      <c r="E51" t="str">
        <f>E48</f>
        <v>SoC / AI inference, vision</v>
      </c>
      <c r="F51" s="7" t="s">
        <v>45</v>
      </c>
      <c r="G51" s="7">
        <v>8</v>
      </c>
      <c r="H51" t="s">
        <v>1229</v>
      </c>
      <c r="I51" s="157">
        <f t="shared" si="5"/>
        <v>0.32766666666666666</v>
      </c>
      <c r="J51" s="34">
        <v>8</v>
      </c>
      <c r="K51" s="34"/>
      <c r="L51" s="750" t="s">
        <v>45</v>
      </c>
      <c r="M51" s="108">
        <v>102</v>
      </c>
      <c r="N51" s="2">
        <f>(J51*Calc_Moores_Law!R$47)/AB$4</f>
        <v>68.719476736000004</v>
      </c>
      <c r="O51" s="7" t="s">
        <v>45</v>
      </c>
      <c r="P51" s="401">
        <v>249</v>
      </c>
      <c r="Q51" s="7" t="s">
        <v>45</v>
      </c>
      <c r="R51" s="7" t="s">
        <v>45</v>
      </c>
      <c r="S51" s="92" t="s">
        <v>45</v>
      </c>
      <c r="T51" s="92">
        <v>25</v>
      </c>
      <c r="U51" s="92" t="s">
        <v>45</v>
      </c>
      <c r="V51" s="92" t="s">
        <v>45</v>
      </c>
      <c r="W51" s="128">
        <v>67</v>
      </c>
      <c r="X51" s="108" t="s">
        <v>45</v>
      </c>
      <c r="Y51" s="93" t="s">
        <v>45</v>
      </c>
      <c r="Z51" s="766">
        <f>W51/T51</f>
        <v>2.68</v>
      </c>
      <c r="AA51">
        <f t="shared" si="3"/>
        <v>43</v>
      </c>
      <c r="AB51" s="14"/>
    </row>
    <row r="52" spans="2:31" x14ac:dyDescent="0.35">
      <c r="B52">
        <f t="shared" si="0"/>
        <v>44</v>
      </c>
      <c r="C52" s="23" t="s">
        <v>1373</v>
      </c>
      <c r="D52" s="7" t="s">
        <v>1150</v>
      </c>
      <c r="E52" t="str">
        <f>E50</f>
        <v>SoC / AI inference, vision</v>
      </c>
      <c r="F52" s="7" t="s">
        <v>45</v>
      </c>
      <c r="G52" s="7" t="s">
        <v>45</v>
      </c>
      <c r="H52" t="s">
        <v>1229</v>
      </c>
      <c r="I52" s="157">
        <f t="shared" si="5"/>
        <v>0.65533333333333332</v>
      </c>
      <c r="J52" s="34">
        <v>16</v>
      </c>
      <c r="K52" s="34"/>
      <c r="L52" s="750" t="s">
        <v>45</v>
      </c>
      <c r="M52" s="108">
        <v>102</v>
      </c>
      <c r="N52" s="2">
        <f>(J52*Calc_Moores_Law!R$47)/AB$4</f>
        <v>137.43895347200001</v>
      </c>
      <c r="O52" s="7" t="s">
        <v>45</v>
      </c>
      <c r="P52" s="401">
        <v>599</v>
      </c>
      <c r="Q52" s="7" t="s">
        <v>45</v>
      </c>
      <c r="R52" s="7" t="s">
        <v>45</v>
      </c>
      <c r="S52" s="92" t="s">
        <v>45</v>
      </c>
      <c r="T52" s="92">
        <v>25</v>
      </c>
      <c r="U52" s="92" t="s">
        <v>45</v>
      </c>
      <c r="V52" s="92" t="s">
        <v>45</v>
      </c>
      <c r="W52" s="128">
        <v>100</v>
      </c>
      <c r="X52" s="108" t="s">
        <v>45</v>
      </c>
      <c r="Y52" s="93" t="s">
        <v>45</v>
      </c>
      <c r="Z52" s="766">
        <f>W52/T52</f>
        <v>4</v>
      </c>
      <c r="AA52">
        <f t="shared" si="3"/>
        <v>44</v>
      </c>
      <c r="AB52" s="14"/>
    </row>
    <row r="53" spans="2:31" x14ac:dyDescent="0.35">
      <c r="B53">
        <f t="shared" si="0"/>
        <v>45</v>
      </c>
      <c r="C53" s="23" t="s">
        <v>1375</v>
      </c>
      <c r="D53" s="7">
        <v>2022</v>
      </c>
      <c r="E53" t="str">
        <f>E51</f>
        <v>SoC / AI inference, vision</v>
      </c>
      <c r="F53" s="7" t="s">
        <v>45</v>
      </c>
      <c r="G53" s="7" t="s">
        <v>45</v>
      </c>
      <c r="H53" t="s">
        <v>1229</v>
      </c>
      <c r="I53" s="157">
        <f t="shared" si="5"/>
        <v>1.3106666666666666</v>
      </c>
      <c r="J53" s="34">
        <v>32</v>
      </c>
      <c r="K53" s="34"/>
      <c r="L53" s="750" t="s">
        <v>45</v>
      </c>
      <c r="M53" s="108">
        <v>205</v>
      </c>
      <c r="N53" s="2">
        <f>(J53*Calc_Moores_Law!R$47)/AB$4</f>
        <v>274.87790694400002</v>
      </c>
      <c r="O53" s="7" t="s">
        <v>45</v>
      </c>
      <c r="P53" s="401">
        <v>899</v>
      </c>
      <c r="Q53" s="7" t="s">
        <v>45</v>
      </c>
      <c r="R53" s="7" t="s">
        <v>45</v>
      </c>
      <c r="S53" s="92" t="s">
        <v>45</v>
      </c>
      <c r="T53" s="92">
        <v>40</v>
      </c>
      <c r="U53" s="92" t="s">
        <v>45</v>
      </c>
      <c r="V53" s="92" t="s">
        <v>45</v>
      </c>
      <c r="W53" s="128">
        <v>200</v>
      </c>
      <c r="X53" s="108" t="s">
        <v>45</v>
      </c>
      <c r="Y53" s="93" t="s">
        <v>45</v>
      </c>
      <c r="Z53" s="766">
        <f>W53/T53</f>
        <v>5</v>
      </c>
      <c r="AA53">
        <f t="shared" si="3"/>
        <v>45</v>
      </c>
      <c r="AB53" s="14"/>
    </row>
    <row r="54" spans="2:31" x14ac:dyDescent="0.35">
      <c r="B54">
        <f t="shared" si="0"/>
        <v>46</v>
      </c>
      <c r="C54" s="23" t="s">
        <v>1256</v>
      </c>
      <c r="D54">
        <v>2022</v>
      </c>
      <c r="E54" t="s">
        <v>272</v>
      </c>
      <c r="F54" s="7">
        <v>1</v>
      </c>
      <c r="G54" s="7" t="s">
        <v>45</v>
      </c>
      <c r="H54" t="s">
        <v>1229</v>
      </c>
      <c r="I54" s="157">
        <f t="shared" si="5"/>
        <v>2.6213333333333333</v>
      </c>
      <c r="J54" s="34">
        <v>64</v>
      </c>
      <c r="K54" s="34"/>
      <c r="L54" s="750" t="s">
        <v>45</v>
      </c>
      <c r="M54" s="108">
        <v>204.8</v>
      </c>
      <c r="N54" s="2">
        <f>(J54*Calc_Moores_Law!R$47)/AB$4</f>
        <v>549.75581388800003</v>
      </c>
      <c r="O54" s="7" t="s">
        <v>45</v>
      </c>
      <c r="P54" s="401">
        <v>1599</v>
      </c>
      <c r="Q54" s="7" t="s">
        <v>45</v>
      </c>
      <c r="R54" s="7" t="s">
        <v>45</v>
      </c>
      <c r="S54" s="92" t="s">
        <v>45</v>
      </c>
      <c r="T54" s="2">
        <v>60</v>
      </c>
      <c r="U54" s="26" t="s">
        <v>45</v>
      </c>
      <c r="V54" s="34" t="s">
        <v>45</v>
      </c>
      <c r="W54" s="128">
        <v>275</v>
      </c>
      <c r="X54" s="108" t="s">
        <v>45</v>
      </c>
      <c r="Y54" s="93" t="s">
        <v>45</v>
      </c>
      <c r="Z54" s="766">
        <f>W54/T54</f>
        <v>4.583333333333333</v>
      </c>
      <c r="AA54">
        <f t="shared" si="3"/>
        <v>46</v>
      </c>
      <c r="AB54" s="14" t="s">
        <v>1264</v>
      </c>
      <c r="AC54" t="s">
        <v>2799</v>
      </c>
      <c r="AE54" t="s">
        <v>45</v>
      </c>
    </row>
    <row r="55" spans="2:31" x14ac:dyDescent="0.35">
      <c r="B55">
        <f t="shared" si="0"/>
        <v>47</v>
      </c>
      <c r="C55" s="23" t="s">
        <v>1435</v>
      </c>
      <c r="D55">
        <v>2025</v>
      </c>
      <c r="E55" t="s">
        <v>1461</v>
      </c>
      <c r="F55" s="7">
        <v>1</v>
      </c>
      <c r="G55" s="7" t="s">
        <v>45</v>
      </c>
      <c r="H55" t="s">
        <v>1229</v>
      </c>
      <c r="I55" s="157">
        <f t="shared" si="5"/>
        <v>5.2426666666666666</v>
      </c>
      <c r="J55" s="34">
        <f>4*32</f>
        <v>128</v>
      </c>
      <c r="K55" s="34"/>
      <c r="L55" s="750" t="s">
        <v>45</v>
      </c>
      <c r="M55" s="108">
        <f>M62</f>
        <v>825</v>
      </c>
      <c r="N55" s="2">
        <f>(J55*Calc_Moores_Law!R$47)/AB$4</f>
        <v>1099.5116277760001</v>
      </c>
      <c r="O55" s="7">
        <v>77</v>
      </c>
      <c r="P55" s="401">
        <f>P54</f>
        <v>1599</v>
      </c>
      <c r="Q55" s="7" t="s">
        <v>45</v>
      </c>
      <c r="R55" s="7" t="s">
        <v>45</v>
      </c>
      <c r="S55" s="92" t="s">
        <v>45</v>
      </c>
      <c r="T55" s="34">
        <f>T17*(X55/X17)</f>
        <v>135</v>
      </c>
      <c r="U55" s="26" t="s">
        <v>45</v>
      </c>
      <c r="V55" s="34">
        <v>500</v>
      </c>
      <c r="W55" s="128">
        <v>1000</v>
      </c>
      <c r="X55" s="108">
        <f>2*W55</f>
        <v>2000</v>
      </c>
      <c r="Y55" s="93" t="s">
        <v>45</v>
      </c>
      <c r="Z55" s="766">
        <f>X55/T55</f>
        <v>14.814814814814815</v>
      </c>
      <c r="AA55">
        <f t="shared" si="3"/>
        <v>47</v>
      </c>
      <c r="AB55" t="s">
        <v>1459</v>
      </c>
      <c r="AC55" t="s">
        <v>1447</v>
      </c>
      <c r="AD55" s="14" t="s">
        <v>1475</v>
      </c>
    </row>
    <row r="56" spans="2:31" x14ac:dyDescent="0.35">
      <c r="B56">
        <f t="shared" si="0"/>
        <v>48</v>
      </c>
      <c r="C56" s="23" t="s">
        <v>1241</v>
      </c>
      <c r="D56">
        <v>2025</v>
      </c>
      <c r="E56" t="s">
        <v>272</v>
      </c>
      <c r="F56" s="7" t="s">
        <v>45</v>
      </c>
      <c r="G56" s="7">
        <v>5</v>
      </c>
      <c r="H56" t="s">
        <v>1229</v>
      </c>
      <c r="I56" s="139" t="s">
        <v>45</v>
      </c>
      <c r="J56" s="34" t="s">
        <v>45</v>
      </c>
      <c r="K56" s="34"/>
      <c r="L56" s="750" t="s">
        <v>45</v>
      </c>
      <c r="M56" s="108" t="s">
        <v>45</v>
      </c>
      <c r="N56" s="34" t="s">
        <v>45</v>
      </c>
      <c r="O56" s="7" t="s">
        <v>45</v>
      </c>
      <c r="P56" s="401">
        <v>900</v>
      </c>
      <c r="Q56" s="432" t="s">
        <v>45</v>
      </c>
      <c r="R56" s="7" t="s">
        <v>45</v>
      </c>
      <c r="S56" s="92" t="s">
        <v>45</v>
      </c>
      <c r="T56" s="34">
        <v>90</v>
      </c>
      <c r="U56" s="26">
        <v>4.2</v>
      </c>
      <c r="V56" s="34" t="s">
        <v>45</v>
      </c>
      <c r="W56" s="128">
        <v>176</v>
      </c>
      <c r="X56" s="108" t="s">
        <v>45</v>
      </c>
      <c r="Y56" s="12">
        <f t="shared" ref="Y56" si="6">U56/T56</f>
        <v>4.6666666666666669E-2</v>
      </c>
      <c r="Z56" s="766">
        <f>W56/T56</f>
        <v>1.9555555555555555</v>
      </c>
      <c r="AA56">
        <f t="shared" si="3"/>
        <v>48</v>
      </c>
    </row>
    <row r="57" spans="2:31" x14ac:dyDescent="0.35">
      <c r="B57">
        <f t="shared" si="0"/>
        <v>49</v>
      </c>
      <c r="C57" s="23" t="s">
        <v>1242</v>
      </c>
      <c r="D57">
        <v>2024</v>
      </c>
      <c r="E57" t="s">
        <v>272</v>
      </c>
      <c r="F57" s="7" t="s">
        <v>45</v>
      </c>
      <c r="G57" s="7">
        <v>4</v>
      </c>
      <c r="H57" t="s">
        <v>1229</v>
      </c>
      <c r="I57" s="139" t="s">
        <v>45</v>
      </c>
      <c r="J57" s="34" t="s">
        <v>45</v>
      </c>
      <c r="K57" s="34"/>
      <c r="L57" s="750" t="s">
        <v>45</v>
      </c>
      <c r="M57" s="108" t="s">
        <v>45</v>
      </c>
      <c r="N57" s="34" t="s">
        <v>45</v>
      </c>
      <c r="O57" s="7" t="s">
        <v>45</v>
      </c>
      <c r="P57" s="7" t="s">
        <v>45</v>
      </c>
      <c r="Q57" s="7" t="s">
        <v>45</v>
      </c>
      <c r="R57" s="7" t="s">
        <v>45</v>
      </c>
      <c r="S57" s="7" t="s">
        <v>45</v>
      </c>
      <c r="T57" s="7" t="s">
        <v>45</v>
      </c>
      <c r="U57" s="7" t="s">
        <v>45</v>
      </c>
      <c r="V57" s="7" t="s">
        <v>45</v>
      </c>
      <c r="W57" s="128">
        <v>100</v>
      </c>
      <c r="X57" s="108" t="s">
        <v>45</v>
      </c>
      <c r="Y57" s="93" t="s">
        <v>45</v>
      </c>
      <c r="Z57" s="768" t="s">
        <v>45</v>
      </c>
      <c r="AA57">
        <f t="shared" si="3"/>
        <v>49</v>
      </c>
    </row>
    <row r="58" spans="2:31" x14ac:dyDescent="0.35">
      <c r="B58">
        <f t="shared" si="0"/>
        <v>50</v>
      </c>
      <c r="C58" s="23" t="s">
        <v>2687</v>
      </c>
      <c r="D58">
        <v>2024</v>
      </c>
      <c r="E58" t="s">
        <v>272</v>
      </c>
      <c r="F58" s="7" t="s">
        <v>45</v>
      </c>
      <c r="G58" s="7">
        <v>7</v>
      </c>
      <c r="H58" s="7" t="s">
        <v>1222</v>
      </c>
      <c r="I58" s="139" t="s">
        <v>45</v>
      </c>
      <c r="J58" s="34" t="s">
        <v>45</v>
      </c>
      <c r="K58" s="34"/>
      <c r="L58" s="750" t="s">
        <v>45</v>
      </c>
      <c r="M58" s="108" t="s">
        <v>45</v>
      </c>
      <c r="N58" s="34" t="s">
        <v>45</v>
      </c>
      <c r="O58" s="7" t="s">
        <v>45</v>
      </c>
      <c r="P58" s="7" t="s">
        <v>45</v>
      </c>
      <c r="Q58" s="7" t="s">
        <v>45</v>
      </c>
      <c r="R58" s="7" t="s">
        <v>45</v>
      </c>
      <c r="S58" s="7" t="s">
        <v>45</v>
      </c>
      <c r="T58" s="7" t="s">
        <v>45</v>
      </c>
      <c r="U58" s="7" t="s">
        <v>45</v>
      </c>
      <c r="V58" s="7" t="s">
        <v>45</v>
      </c>
      <c r="W58" s="128">
        <v>128</v>
      </c>
      <c r="X58" s="108" t="s">
        <v>45</v>
      </c>
      <c r="Y58" s="93" t="s">
        <v>45</v>
      </c>
      <c r="Z58" s="768" t="s">
        <v>45</v>
      </c>
      <c r="AA58">
        <f t="shared" si="3"/>
        <v>50</v>
      </c>
    </row>
    <row r="59" spans="2:31" x14ac:dyDescent="0.35">
      <c r="B59">
        <f t="shared" si="0"/>
        <v>51</v>
      </c>
      <c r="C59" s="23" t="s">
        <v>2723</v>
      </c>
      <c r="D59">
        <v>2021</v>
      </c>
      <c r="E59" t="s">
        <v>272</v>
      </c>
      <c r="F59" s="7">
        <v>1</v>
      </c>
      <c r="G59" s="7">
        <v>7</v>
      </c>
      <c r="H59" s="7" t="s">
        <v>2725</v>
      </c>
      <c r="I59" s="139"/>
      <c r="J59" s="34"/>
      <c r="K59" s="34"/>
      <c r="L59" s="750"/>
      <c r="M59" s="108"/>
      <c r="N59" s="34"/>
      <c r="O59" s="7"/>
      <c r="P59" s="7"/>
      <c r="Q59" s="7"/>
      <c r="R59" s="7"/>
      <c r="S59" s="7"/>
      <c r="T59" s="7">
        <v>150</v>
      </c>
      <c r="U59" s="7">
        <v>16</v>
      </c>
      <c r="V59" s="7">
        <v>64</v>
      </c>
      <c r="W59" s="128">
        <v>256</v>
      </c>
      <c r="X59" s="108" t="s">
        <v>45</v>
      </c>
      <c r="Y59" s="12">
        <f t="shared" ref="Y59" si="7">U59/T59</f>
        <v>0.10666666666666667</v>
      </c>
      <c r="Z59" s="766">
        <f>W59/T59</f>
        <v>1.7066666666666668</v>
      </c>
    </row>
    <row r="60" spans="2:31" ht="15" thickBot="1" x14ac:dyDescent="0.4">
      <c r="B60">
        <f t="shared" si="0"/>
        <v>52</v>
      </c>
      <c r="C60" s="23" t="s">
        <v>1223</v>
      </c>
      <c r="D60">
        <v>2023</v>
      </c>
      <c r="E60" t="s">
        <v>272</v>
      </c>
      <c r="F60" s="7" t="s">
        <v>45</v>
      </c>
      <c r="G60" s="7">
        <v>16</v>
      </c>
      <c r="H60" s="7" t="s">
        <v>1222</v>
      </c>
      <c r="I60" s="139" t="s">
        <v>45</v>
      </c>
      <c r="J60" s="34" t="s">
        <v>45</v>
      </c>
      <c r="K60" s="34"/>
      <c r="L60" s="750" t="s">
        <v>45</v>
      </c>
      <c r="M60" s="108" t="s">
        <v>45</v>
      </c>
      <c r="N60" s="34" t="s">
        <v>45</v>
      </c>
      <c r="O60" s="7" t="s">
        <v>45</v>
      </c>
      <c r="P60" s="7" t="s">
        <v>45</v>
      </c>
      <c r="Q60" s="7" t="s">
        <v>45</v>
      </c>
      <c r="R60" s="7" t="s">
        <v>45</v>
      </c>
      <c r="S60" s="7" t="s">
        <v>45</v>
      </c>
      <c r="T60" s="7" t="s">
        <v>45</v>
      </c>
      <c r="U60" s="7" t="s">
        <v>45</v>
      </c>
      <c r="V60" s="7" t="s">
        <v>45</v>
      </c>
      <c r="W60" s="128">
        <v>106</v>
      </c>
      <c r="X60" s="108">
        <v>196</v>
      </c>
      <c r="Y60" s="93" t="s">
        <v>45</v>
      </c>
      <c r="Z60" s="768" t="s">
        <v>45</v>
      </c>
      <c r="AA60">
        <f>AA58+1</f>
        <v>51</v>
      </c>
    </row>
    <row r="61" spans="2:31" ht="21.5" thickTop="1" x14ac:dyDescent="0.5">
      <c r="B61">
        <f t="shared" si="0"/>
        <v>53</v>
      </c>
      <c r="C61" s="702" t="s">
        <v>1463</v>
      </c>
      <c r="D61" s="456"/>
      <c r="E61" s="456"/>
      <c r="F61" s="456"/>
      <c r="G61" s="456"/>
      <c r="H61" s="456"/>
      <c r="I61" s="456"/>
      <c r="J61" s="456"/>
      <c r="K61" s="456"/>
      <c r="L61" s="752"/>
      <c r="M61" s="456"/>
      <c r="N61" s="456"/>
      <c r="O61" s="456"/>
      <c r="P61" s="456"/>
      <c r="Q61" s="456"/>
      <c r="R61" s="456"/>
      <c r="S61" s="456"/>
      <c r="T61" s="456"/>
      <c r="U61" s="456"/>
      <c r="V61" s="456"/>
      <c r="W61" s="456"/>
      <c r="X61" s="456"/>
      <c r="Y61" s="456"/>
      <c r="Z61" s="469"/>
      <c r="AA61">
        <f t="shared" si="3"/>
        <v>52</v>
      </c>
    </row>
    <row r="62" spans="2:31" ht="15" thickBot="1" x14ac:dyDescent="0.4">
      <c r="B62">
        <f t="shared" si="0"/>
        <v>54</v>
      </c>
      <c r="C62" s="23" t="s">
        <v>1451</v>
      </c>
      <c r="D62" s="7" t="s">
        <v>1450</v>
      </c>
      <c r="E62" t="s">
        <v>1462</v>
      </c>
      <c r="F62" s="7">
        <v>1</v>
      </c>
      <c r="G62" s="7">
        <v>4</v>
      </c>
      <c r="H62" t="s">
        <v>1229</v>
      </c>
      <c r="I62" s="157">
        <v>200</v>
      </c>
      <c r="J62" s="34">
        <v>128</v>
      </c>
      <c r="K62" s="34"/>
      <c r="L62" s="750" t="s">
        <v>45</v>
      </c>
      <c r="M62" s="108">
        <v>825</v>
      </c>
      <c r="N62" s="2">
        <f>(J62*Calc_Moores_Law!R$47)/AB$4</f>
        <v>1099.5116277760001</v>
      </c>
      <c r="O62" s="7" t="s">
        <v>45</v>
      </c>
      <c r="P62" s="401">
        <v>3000</v>
      </c>
      <c r="Q62" s="7" t="s">
        <v>45</v>
      </c>
      <c r="R62" s="7" t="s">
        <v>45</v>
      </c>
      <c r="S62" s="7" t="s">
        <v>45</v>
      </c>
      <c r="T62" s="7" t="s">
        <v>45</v>
      </c>
      <c r="U62" s="7" t="s">
        <v>45</v>
      </c>
      <c r="V62" s="7" t="s">
        <v>45</v>
      </c>
      <c r="W62" s="128">
        <v>500</v>
      </c>
      <c r="X62" s="108">
        <v>1000</v>
      </c>
      <c r="Y62" s="93"/>
      <c r="Z62" s="25"/>
      <c r="AA62">
        <f t="shared" si="3"/>
        <v>53</v>
      </c>
      <c r="AB62" t="s">
        <v>1455</v>
      </c>
      <c r="AD62" s="14" t="s">
        <v>1456</v>
      </c>
    </row>
    <row r="63" spans="2:31" ht="21.5" thickTop="1" x14ac:dyDescent="0.5">
      <c r="B63">
        <f t="shared" si="0"/>
        <v>55</v>
      </c>
      <c r="C63" s="702" t="s">
        <v>1452</v>
      </c>
      <c r="D63" s="456"/>
      <c r="E63" s="456"/>
      <c r="F63" s="456"/>
      <c r="G63" s="456"/>
      <c r="H63" s="456"/>
      <c r="I63" s="456"/>
      <c r="J63" s="456"/>
      <c r="K63" s="456"/>
      <c r="L63" s="752"/>
      <c r="M63" s="456"/>
      <c r="N63" s="456"/>
      <c r="O63" s="456"/>
      <c r="P63" s="456"/>
      <c r="Q63" s="456"/>
      <c r="R63" s="456"/>
      <c r="S63" s="456"/>
      <c r="T63" s="456"/>
      <c r="U63" s="456"/>
      <c r="V63" s="456"/>
      <c r="W63" s="456"/>
      <c r="X63" s="456"/>
      <c r="Y63" s="456"/>
      <c r="Z63" s="469"/>
      <c r="AA63">
        <f t="shared" si="3"/>
        <v>54</v>
      </c>
    </row>
    <row r="64" spans="2:31" x14ac:dyDescent="0.35">
      <c r="B64">
        <f t="shared" si="0"/>
        <v>56</v>
      </c>
      <c r="C64" s="23" t="s">
        <v>21</v>
      </c>
      <c r="D64">
        <v>2021</v>
      </c>
      <c r="E64" t="s">
        <v>805</v>
      </c>
      <c r="F64">
        <v>1</v>
      </c>
      <c r="G64">
        <v>5</v>
      </c>
      <c r="H64" t="s">
        <v>1229</v>
      </c>
      <c r="I64" s="128">
        <f>J64*(1/I$100)</f>
        <v>2.5</v>
      </c>
      <c r="J64" s="2">
        <v>6</v>
      </c>
      <c r="K64" s="2"/>
      <c r="L64" s="750" t="s">
        <v>45</v>
      </c>
      <c r="M64" s="128">
        <v>34.1</v>
      </c>
      <c r="N64" s="2">
        <f>(J64*Calc_Moores_Law!R$47)/AB$4</f>
        <v>51.539607552</v>
      </c>
      <c r="O64">
        <v>15</v>
      </c>
      <c r="P64" s="185">
        <v>700</v>
      </c>
      <c r="Q64">
        <v>108</v>
      </c>
      <c r="R64">
        <v>1</v>
      </c>
      <c r="S64" s="24">
        <f>(O64*1000/Q64)/R64</f>
        <v>138.88888888888889</v>
      </c>
      <c r="T64" s="2">
        <v>8.5</v>
      </c>
      <c r="U64" s="6">
        <v>1.5</v>
      </c>
      <c r="V64" s="2">
        <v>15.8</v>
      </c>
      <c r="W64" s="128">
        <v>16</v>
      </c>
      <c r="X64" s="108" t="s">
        <v>45</v>
      </c>
      <c r="Y64" s="12">
        <f>U64/T64</f>
        <v>0.17647058823529413</v>
      </c>
      <c r="Z64" s="766">
        <f>W64/T64</f>
        <v>1.8823529411764706</v>
      </c>
      <c r="AA64">
        <f t="shared" si="3"/>
        <v>55</v>
      </c>
    </row>
    <row r="65" spans="1:29" x14ac:dyDescent="0.35">
      <c r="B65">
        <f t="shared" si="0"/>
        <v>57</v>
      </c>
      <c r="C65" s="23" t="s">
        <v>628</v>
      </c>
      <c r="D65">
        <v>2023</v>
      </c>
      <c r="E65" t="s">
        <v>805</v>
      </c>
      <c r="F65">
        <v>1</v>
      </c>
      <c r="G65">
        <v>3</v>
      </c>
      <c r="H65" t="s">
        <v>1229</v>
      </c>
      <c r="I65" s="128">
        <f>J65*(1/I$100)</f>
        <v>3.3333333333333335</v>
      </c>
      <c r="J65" s="2">
        <v>8</v>
      </c>
      <c r="K65" s="2"/>
      <c r="L65" s="750" t="s">
        <v>45</v>
      </c>
      <c r="M65" s="128">
        <v>51.2</v>
      </c>
      <c r="N65" s="2">
        <f>(J65*Calc_Moores_Law!R$47)/AB$4</f>
        <v>68.719476736000004</v>
      </c>
      <c r="O65">
        <v>19</v>
      </c>
      <c r="P65" s="185">
        <v>1000</v>
      </c>
      <c r="Q65">
        <f>Q64</f>
        <v>108</v>
      </c>
      <c r="R65">
        <v>1</v>
      </c>
      <c r="S65" s="24">
        <f>(O65*1000/Q65)/R65</f>
        <v>175.92592592592592</v>
      </c>
      <c r="T65" s="83">
        <v>7.5</v>
      </c>
      <c r="U65" s="6">
        <v>2.1469999999999998</v>
      </c>
      <c r="V65" s="34" t="s">
        <v>45</v>
      </c>
      <c r="W65" s="128">
        <v>35</v>
      </c>
      <c r="X65" s="108" t="s">
        <v>45</v>
      </c>
      <c r="Y65" s="12">
        <f>U65/T65</f>
        <v>0.28626666666666661</v>
      </c>
      <c r="Z65" s="766">
        <f>W65/T65</f>
        <v>4.666666666666667</v>
      </c>
      <c r="AA65">
        <f t="shared" si="3"/>
        <v>56</v>
      </c>
    </row>
    <row r="66" spans="1:29" x14ac:dyDescent="0.35">
      <c r="B66">
        <f t="shared" si="0"/>
        <v>58</v>
      </c>
      <c r="C66" s="23" t="s">
        <v>29</v>
      </c>
      <c r="D66">
        <v>2022</v>
      </c>
      <c r="E66" t="s">
        <v>37</v>
      </c>
      <c r="F66">
        <v>4</v>
      </c>
      <c r="G66">
        <v>5</v>
      </c>
      <c r="H66" t="s">
        <v>1229</v>
      </c>
      <c r="I66" s="128">
        <f>J66*(1/I$100)</f>
        <v>53.333333333333336</v>
      </c>
      <c r="J66" s="2">
        <v>128</v>
      </c>
      <c r="K66" s="2"/>
      <c r="L66" s="750" t="s">
        <v>45</v>
      </c>
      <c r="M66" s="128">
        <v>819.2</v>
      </c>
      <c r="N66" s="2">
        <f>(J66*Calc_Moores_Law!R$47)/AB$4</f>
        <v>1099.5116277760001</v>
      </c>
      <c r="O66">
        <v>114</v>
      </c>
      <c r="P66" s="185">
        <v>5000</v>
      </c>
      <c r="Q66">
        <v>864</v>
      </c>
      <c r="R66">
        <v>1</v>
      </c>
      <c r="S66" s="24">
        <f t="shared" ref="S66:S67" si="8">(O66*1000/Q66)/R66</f>
        <v>131.94444444444446</v>
      </c>
      <c r="T66" s="2">
        <v>60</v>
      </c>
      <c r="U66" s="6">
        <v>21.2</v>
      </c>
      <c r="V66" s="2">
        <v>42.4</v>
      </c>
      <c r="W66" s="108" t="s">
        <v>45</v>
      </c>
      <c r="X66" s="108" t="s">
        <v>45</v>
      </c>
      <c r="Y66" s="12">
        <f t="shared" ref="Y66:Y67" si="9">U66/T66</f>
        <v>0.35333333333333333</v>
      </c>
      <c r="Z66" s="766">
        <f>V66/T66</f>
        <v>0.70666666666666667</v>
      </c>
      <c r="AA66">
        <f t="shared" si="3"/>
        <v>57</v>
      </c>
    </row>
    <row r="67" spans="1:29" x14ac:dyDescent="0.35">
      <c r="B67">
        <f t="shared" si="0"/>
        <v>59</v>
      </c>
      <c r="C67" s="23" t="s">
        <v>64</v>
      </c>
      <c r="D67">
        <v>2023</v>
      </c>
      <c r="E67" t="s">
        <v>37</v>
      </c>
      <c r="F67">
        <v>4</v>
      </c>
      <c r="G67">
        <v>5</v>
      </c>
      <c r="H67" t="s">
        <v>1229</v>
      </c>
      <c r="I67" s="128">
        <f>J67*(1/I$100)</f>
        <v>80</v>
      </c>
      <c r="J67" s="2">
        <v>192</v>
      </c>
      <c r="K67" s="2"/>
      <c r="L67" s="750" t="s">
        <v>45</v>
      </c>
      <c r="M67" s="128">
        <v>800</v>
      </c>
      <c r="N67" s="2">
        <f>(J67*Calc_Moores_Law!R$47)/AB$4</f>
        <v>1649.267441664</v>
      </c>
      <c r="O67">
        <v>134</v>
      </c>
      <c r="P67" s="185">
        <v>7500</v>
      </c>
      <c r="Q67" s="7">
        <v>864</v>
      </c>
      <c r="R67">
        <v>1</v>
      </c>
      <c r="S67" s="24">
        <f t="shared" si="8"/>
        <v>155.09259259259258</v>
      </c>
      <c r="T67" s="2">
        <v>90</v>
      </c>
      <c r="U67" s="6">
        <v>27.2</v>
      </c>
      <c r="V67" s="34" t="s">
        <v>45</v>
      </c>
      <c r="W67" s="108">
        <v>31.6</v>
      </c>
      <c r="X67" s="108" t="s">
        <v>45</v>
      </c>
      <c r="Y67" s="12">
        <f t="shared" si="9"/>
        <v>0.30222222222222223</v>
      </c>
      <c r="Z67" s="766">
        <f>W67/T67</f>
        <v>0.35111111111111115</v>
      </c>
      <c r="AA67">
        <f t="shared" si="3"/>
        <v>58</v>
      </c>
    </row>
    <row r="68" spans="1:29" x14ac:dyDescent="0.35">
      <c r="B68">
        <f t="shared" si="0"/>
        <v>60</v>
      </c>
      <c r="C68" s="23" t="s">
        <v>67</v>
      </c>
      <c r="D68">
        <v>2023</v>
      </c>
      <c r="E68" t="s">
        <v>68</v>
      </c>
      <c r="F68">
        <v>1</v>
      </c>
      <c r="G68">
        <v>10</v>
      </c>
      <c r="H68" s="7" t="s">
        <v>1220</v>
      </c>
      <c r="I68" s="139" t="s">
        <v>18</v>
      </c>
      <c r="J68" s="34" t="s">
        <v>18</v>
      </c>
      <c r="K68" s="34"/>
      <c r="L68" s="750" t="s">
        <v>45</v>
      </c>
      <c r="M68" s="108">
        <v>51.2</v>
      </c>
      <c r="N68" s="34" t="s">
        <v>45</v>
      </c>
      <c r="O68" s="7" t="s">
        <v>45</v>
      </c>
      <c r="P68" s="401" t="s">
        <v>45</v>
      </c>
      <c r="Q68">
        <v>257</v>
      </c>
      <c r="R68">
        <v>1</v>
      </c>
      <c r="S68" s="92" t="s">
        <v>45</v>
      </c>
      <c r="T68" s="2">
        <v>55</v>
      </c>
      <c r="U68" s="26" t="s">
        <v>45</v>
      </c>
      <c r="V68" s="34" t="s">
        <v>45</v>
      </c>
      <c r="W68" s="108" t="s">
        <v>45</v>
      </c>
      <c r="X68" s="108" t="s">
        <v>45</v>
      </c>
      <c r="Y68" s="93" t="s">
        <v>45</v>
      </c>
      <c r="Z68" s="768" t="s">
        <v>45</v>
      </c>
      <c r="AA68">
        <f t="shared" si="3"/>
        <v>59</v>
      </c>
    </row>
    <row r="69" spans="1:29" x14ac:dyDescent="0.35">
      <c r="B69">
        <f t="shared" si="0"/>
        <v>61</v>
      </c>
      <c r="C69" s="23" t="s">
        <v>1427</v>
      </c>
      <c r="D69">
        <v>2023</v>
      </c>
      <c r="E69" t="s">
        <v>114</v>
      </c>
      <c r="F69">
        <v>1</v>
      </c>
      <c r="G69">
        <v>5</v>
      </c>
      <c r="H69" t="s">
        <v>1229</v>
      </c>
      <c r="I69" s="128">
        <f>J69*(1/I$100)</f>
        <v>3.3333333333333335</v>
      </c>
      <c r="J69" s="34">
        <v>8</v>
      </c>
      <c r="K69" s="34"/>
      <c r="L69" s="750" t="s">
        <v>45</v>
      </c>
      <c r="M69" s="128">
        <v>256</v>
      </c>
      <c r="N69" s="2">
        <f>(J69*Calc_Moores_Law!R$47)/AB$4</f>
        <v>68.719476736000004</v>
      </c>
      <c r="O69">
        <v>23</v>
      </c>
      <c r="P69" s="401" t="s">
        <v>45</v>
      </c>
      <c r="Q69">
        <v>188</v>
      </c>
      <c r="R69">
        <v>1</v>
      </c>
      <c r="S69" s="24">
        <f>(O69*1000/Q69)/R69</f>
        <v>122.34042553191489</v>
      </c>
      <c r="T69" s="2">
        <v>115</v>
      </c>
      <c r="U69" s="6">
        <v>15.6</v>
      </c>
      <c r="V69" s="83">
        <v>15.6</v>
      </c>
      <c r="W69" s="108" t="s">
        <v>45</v>
      </c>
      <c r="X69" s="108" t="s">
        <v>45</v>
      </c>
      <c r="Y69" s="12">
        <f>U69/T69</f>
        <v>0.13565217391304349</v>
      </c>
      <c r="Z69" s="766">
        <f>V69/T69</f>
        <v>0.13565217391304349</v>
      </c>
      <c r="AA69">
        <f t="shared" si="3"/>
        <v>60</v>
      </c>
    </row>
    <row r="70" spans="1:29" x14ac:dyDescent="0.35">
      <c r="B70">
        <f t="shared" si="0"/>
        <v>62</v>
      </c>
      <c r="C70" s="23" t="s">
        <v>1429</v>
      </c>
      <c r="D70" s="7" t="s">
        <v>1426</v>
      </c>
      <c r="E70" t="s">
        <v>1428</v>
      </c>
      <c r="F70">
        <v>1</v>
      </c>
      <c r="G70">
        <v>4</v>
      </c>
      <c r="H70" t="s">
        <v>1229</v>
      </c>
      <c r="I70" s="128">
        <f>J70*(1/I$100)</f>
        <v>13.333333333333334</v>
      </c>
      <c r="J70" s="34">
        <v>32</v>
      </c>
      <c r="K70" s="34"/>
      <c r="L70" s="750" t="s">
        <v>45</v>
      </c>
      <c r="M70" s="128">
        <v>1792</v>
      </c>
      <c r="N70" s="2">
        <f>(J70*Calc_Moores_Law!R$47)/AB$4</f>
        <v>274.87790694400002</v>
      </c>
      <c r="O70">
        <v>92</v>
      </c>
      <c r="P70" s="401">
        <v>1999</v>
      </c>
      <c r="Q70" s="7">
        <v>762</v>
      </c>
      <c r="R70">
        <v>1</v>
      </c>
      <c r="S70" s="24">
        <f>(O70*1000/Q70)/R70</f>
        <v>120.73490813648294</v>
      </c>
      <c r="T70" s="2">
        <v>575</v>
      </c>
      <c r="U70" s="26">
        <v>125</v>
      </c>
      <c r="V70" s="83">
        <v>318</v>
      </c>
      <c r="W70" s="108" t="s">
        <v>45</v>
      </c>
      <c r="X70" s="108">
        <v>3352</v>
      </c>
      <c r="Y70" s="12">
        <f>U70/T70</f>
        <v>0.21739130434782608</v>
      </c>
      <c r="Z70" s="766">
        <f>X70/T70</f>
        <v>5.8295652173913046</v>
      </c>
      <c r="AA70">
        <f t="shared" si="3"/>
        <v>61</v>
      </c>
    </row>
    <row r="71" spans="1:29" ht="15" thickBot="1" x14ac:dyDescent="0.4">
      <c r="A71" t="s">
        <v>826</v>
      </c>
      <c r="B71">
        <f t="shared" si="0"/>
        <v>63</v>
      </c>
      <c r="C71" s="23" t="s">
        <v>66</v>
      </c>
      <c r="D71">
        <v>2023</v>
      </c>
      <c r="E71" t="s">
        <v>400</v>
      </c>
      <c r="F71">
        <v>16</v>
      </c>
      <c r="G71" s="24">
        <f>Calc_nm_Law!K24</f>
        <v>4.1106508732833182</v>
      </c>
      <c r="H71" t="s">
        <v>1229</v>
      </c>
      <c r="I71" s="139" t="s">
        <v>18</v>
      </c>
      <c r="J71" s="2">
        <v>2000</v>
      </c>
      <c r="K71" s="2"/>
      <c r="L71" s="750" t="s">
        <v>45</v>
      </c>
      <c r="M71" s="129">
        <v>2.4</v>
      </c>
      <c r="N71" s="2">
        <f>(J71*Calc_Moores_Law!R$47)/AB$4</f>
        <v>17179.869183999999</v>
      </c>
      <c r="O71" s="34" t="s">
        <v>45</v>
      </c>
      <c r="P71" s="185">
        <v>250</v>
      </c>
      <c r="Q71" s="2">
        <v>70.099999999999994</v>
      </c>
      <c r="R71" s="2">
        <f>232*F71</f>
        <v>3712</v>
      </c>
      <c r="S71" s="24">
        <f>(N71*1000/Q71)/R71</f>
        <v>66.022789118992577</v>
      </c>
      <c r="T71" s="34">
        <v>1</v>
      </c>
      <c r="U71" s="26" t="s">
        <v>18</v>
      </c>
      <c r="V71" s="34" t="s">
        <v>18</v>
      </c>
      <c r="W71" s="108" t="s">
        <v>18</v>
      </c>
      <c r="X71" s="108" t="s">
        <v>45</v>
      </c>
      <c r="Y71" s="26" t="s">
        <v>18</v>
      </c>
      <c r="Z71" s="769" t="s">
        <v>18</v>
      </c>
      <c r="AA71">
        <f t="shared" si="3"/>
        <v>62</v>
      </c>
    </row>
    <row r="72" spans="1:29" ht="21.5" thickTop="1" x14ac:dyDescent="0.5">
      <c r="B72">
        <f t="shared" si="0"/>
        <v>64</v>
      </c>
      <c r="C72" s="702" t="s">
        <v>1937</v>
      </c>
      <c r="D72" s="461"/>
      <c r="E72" s="461"/>
      <c r="F72" s="470"/>
      <c r="G72" s="470"/>
      <c r="H72" s="470"/>
      <c r="I72" s="470"/>
      <c r="J72" s="463"/>
      <c r="K72" s="463"/>
      <c r="L72" s="629"/>
      <c r="M72" s="463"/>
      <c r="N72" s="463"/>
      <c r="O72" s="470"/>
      <c r="P72" s="471"/>
      <c r="Q72" s="470"/>
      <c r="R72" s="470"/>
      <c r="S72" s="459"/>
      <c r="T72" s="463"/>
      <c r="U72" s="472"/>
      <c r="V72" s="463"/>
      <c r="W72" s="462"/>
      <c r="X72" s="463"/>
      <c r="Y72" s="473"/>
      <c r="Z72" s="468"/>
      <c r="AA72">
        <f t="shared" si="3"/>
        <v>63</v>
      </c>
      <c r="AC72" t="s">
        <v>1003</v>
      </c>
    </row>
    <row r="73" spans="1:29" x14ac:dyDescent="0.35">
      <c r="B73">
        <f t="shared" si="0"/>
        <v>65</v>
      </c>
      <c r="C73" s="23" t="str">
        <f>AI_Models!C107</f>
        <v>Human brain - Life 2.5</v>
      </c>
      <c r="D73" s="34" t="s">
        <v>1660</v>
      </c>
      <c r="E73" t="str">
        <f>AI_Models!E107</f>
        <v>Motion, sensing, thought, etc.</v>
      </c>
      <c r="F73" s="7" t="s">
        <v>18</v>
      </c>
      <c r="G73" s="7" t="s">
        <v>18</v>
      </c>
      <c r="H73" s="7" t="s">
        <v>18</v>
      </c>
      <c r="I73" s="128">
        <f>AI_Models!J107</f>
        <v>258000</v>
      </c>
      <c r="J73" s="2">
        <f>AI_Models!K107</f>
        <v>151575</v>
      </c>
      <c r="K73" s="2"/>
      <c r="L73" s="750" t="s">
        <v>45</v>
      </c>
      <c r="M73" s="613">
        <f>AI_Models!L107</f>
        <v>3.2000000000000001E-2</v>
      </c>
      <c r="N73" s="92" t="s">
        <v>18</v>
      </c>
      <c r="O73" s="34" t="s">
        <v>18</v>
      </c>
      <c r="P73" s="185">
        <f>AI_Models!Q107</f>
        <v>200000</v>
      </c>
      <c r="Q73" s="2" t="s">
        <v>1911</v>
      </c>
      <c r="R73" s="2">
        <f>(AI_Models!D149*AB4)^(1/3)</f>
        <v>4414.0049624421017</v>
      </c>
      <c r="S73" s="92" t="s">
        <v>18</v>
      </c>
      <c r="T73" s="130">
        <v>20</v>
      </c>
      <c r="U73" s="26" t="s">
        <v>45</v>
      </c>
      <c r="V73" s="34" t="s">
        <v>45</v>
      </c>
      <c r="W73" s="108" t="s">
        <v>45</v>
      </c>
      <c r="X73" s="108">
        <f>AI_Models!N107</f>
        <v>12900</v>
      </c>
      <c r="Y73" s="26" t="s">
        <v>45</v>
      </c>
      <c r="Z73" s="767">
        <f>X73/T73</f>
        <v>645</v>
      </c>
      <c r="AA73">
        <f t="shared" si="3"/>
        <v>64</v>
      </c>
      <c r="AC73">
        <f>Z73/Z76</f>
        <v>953.67857142857144</v>
      </c>
    </row>
    <row r="74" spans="1:29" ht="15" thickBot="1" x14ac:dyDescent="0.4">
      <c r="B74">
        <f t="shared" si="0"/>
        <v>66</v>
      </c>
      <c r="C74" s="23" t="str">
        <f>AI_Models!C110</f>
        <v>Dog/wolf brain 4.1% of human brain - Life 2.0</v>
      </c>
      <c r="D74" s="34" t="str">
        <f>AI_Models!D110</f>
        <v>2,500,000BC</v>
      </c>
      <c r="E74" t="str">
        <f>AI_Models!E110</f>
        <v>Motion, sensing, thought, etc.</v>
      </c>
      <c r="F74" s="7" t="s">
        <v>18</v>
      </c>
      <c r="G74" s="7" t="s">
        <v>18</v>
      </c>
      <c r="H74" s="7" t="s">
        <v>18</v>
      </c>
      <c r="I74" s="128">
        <f>AI_Models!J110</f>
        <v>10590</v>
      </c>
      <c r="J74" s="2">
        <f>AI_Models!K110</f>
        <v>6221.625</v>
      </c>
      <c r="K74" s="2"/>
      <c r="L74" s="750" t="s">
        <v>45</v>
      </c>
      <c r="M74" s="613">
        <f>AI_Models!L110</f>
        <v>3.2000000000000001E-2</v>
      </c>
      <c r="N74" s="34" t="s">
        <v>18</v>
      </c>
      <c r="O74" s="34" t="s">
        <v>18</v>
      </c>
      <c r="P74" s="401" t="s">
        <v>18</v>
      </c>
      <c r="Q74" s="34" t="s">
        <v>45</v>
      </c>
      <c r="R74" s="2">
        <f>(AI_Models!D152*AB4)^(1/3)</f>
        <v>1522.620134627708</v>
      </c>
      <c r="S74" s="92" t="s">
        <v>18</v>
      </c>
      <c r="T74" s="130">
        <f>AI_Models!O110</f>
        <v>0.82093023255813957</v>
      </c>
      <c r="U74" s="26" t="s">
        <v>45</v>
      </c>
      <c r="V74" s="34" t="s">
        <v>45</v>
      </c>
      <c r="W74" s="108" t="s">
        <v>45</v>
      </c>
      <c r="X74" s="108">
        <f>AI_Models!N110</f>
        <v>529.5</v>
      </c>
      <c r="Y74" s="26" t="s">
        <v>45</v>
      </c>
      <c r="Z74" s="767">
        <f>X74/T74</f>
        <v>645</v>
      </c>
      <c r="AA74">
        <f t="shared" si="3"/>
        <v>65</v>
      </c>
    </row>
    <row r="75" spans="1:29" ht="21.5" thickTop="1" x14ac:dyDescent="0.5">
      <c r="B75">
        <f t="shared" si="0"/>
        <v>67</v>
      </c>
      <c r="C75" s="702" t="s">
        <v>2551</v>
      </c>
      <c r="D75" s="463"/>
      <c r="E75" s="461"/>
      <c r="F75" s="470"/>
      <c r="G75" s="470"/>
      <c r="H75" s="470"/>
      <c r="I75" s="462"/>
      <c r="J75" s="462"/>
      <c r="K75" s="462"/>
      <c r="L75" s="622"/>
      <c r="M75" s="614"/>
      <c r="N75" s="463"/>
      <c r="O75" s="463"/>
      <c r="P75" s="471"/>
      <c r="Q75" s="463"/>
      <c r="R75" s="462"/>
      <c r="S75" s="459"/>
      <c r="T75" s="474"/>
      <c r="U75" s="472"/>
      <c r="V75" s="463"/>
      <c r="W75" s="463"/>
      <c r="X75" s="463"/>
      <c r="Y75" s="472"/>
      <c r="Z75" s="615"/>
      <c r="AA75">
        <f t="shared" si="3"/>
        <v>66</v>
      </c>
    </row>
    <row r="76" spans="1:29" x14ac:dyDescent="0.35">
      <c r="B76">
        <f t="shared" si="0"/>
        <v>68</v>
      </c>
      <c r="C76" s="23" t="s">
        <v>2126</v>
      </c>
      <c r="D76" s="220" t="s">
        <v>1004</v>
      </c>
      <c r="E76" t="s">
        <v>1916</v>
      </c>
      <c r="F76" s="220">
        <f>F14</f>
        <v>1</v>
      </c>
      <c r="G76" s="220">
        <f>G14</f>
        <v>4</v>
      </c>
      <c r="H76" s="7" t="s">
        <v>1216</v>
      </c>
      <c r="I76" s="128">
        <f>J76*(1/I$102)</f>
        <v>66986.666666666672</v>
      </c>
      <c r="J76" s="222">
        <f>40000+J14</f>
        <v>40192</v>
      </c>
      <c r="K76" s="222"/>
      <c r="L76" s="753" t="s">
        <v>45</v>
      </c>
      <c r="M76" s="108">
        <f>M14</f>
        <v>8000</v>
      </c>
      <c r="N76" s="2">
        <f>(J76*Calc_Moores_Law!R$47)/AB$4</f>
        <v>345246.65112166398</v>
      </c>
      <c r="O76" s="34">
        <f>O14</f>
        <v>208</v>
      </c>
      <c r="P76" s="401">
        <f>P14+((J76-J14)*(J89))/AB2</f>
        <v>432500</v>
      </c>
      <c r="Q76" s="7" t="s">
        <v>45</v>
      </c>
      <c r="R76" s="7">
        <v>1</v>
      </c>
      <c r="S76" s="92" t="s">
        <v>45</v>
      </c>
      <c r="T76" s="2">
        <f>T14+40000*S87</f>
        <v>20700</v>
      </c>
      <c r="U76" s="34">
        <f>U14</f>
        <v>60</v>
      </c>
      <c r="V76" s="34">
        <f>V14</f>
        <v>3500</v>
      </c>
      <c r="W76" s="108">
        <f>W14</f>
        <v>7000</v>
      </c>
      <c r="X76" s="108">
        <f>X14</f>
        <v>14000</v>
      </c>
      <c r="Y76" s="93" t="s">
        <v>45</v>
      </c>
      <c r="Z76" s="766">
        <f>X76/T76</f>
        <v>0.67632850241545894</v>
      </c>
      <c r="AA76">
        <f t="shared" si="3"/>
        <v>67</v>
      </c>
    </row>
    <row r="77" spans="1:29" x14ac:dyDescent="0.35">
      <c r="B77">
        <f t="shared" si="0"/>
        <v>69</v>
      </c>
      <c r="C77" s="23" t="s">
        <v>2127</v>
      </c>
      <c r="D77" s="220" t="s">
        <v>1004</v>
      </c>
      <c r="E77" t="s">
        <v>1916</v>
      </c>
      <c r="F77" s="220">
        <f>F14</f>
        <v>1</v>
      </c>
      <c r="G77" s="220">
        <f>G14</f>
        <v>4</v>
      </c>
      <c r="H77" s="7" t="s">
        <v>1216</v>
      </c>
      <c r="I77" s="128">
        <f>J77*(1/I$102)</f>
        <v>6986.666666666667</v>
      </c>
      <c r="J77" s="222">
        <f>4000+J14</f>
        <v>4192</v>
      </c>
      <c r="K77" s="222"/>
      <c r="L77" s="753" t="s">
        <v>45</v>
      </c>
      <c r="M77" s="108">
        <f>M14</f>
        <v>8000</v>
      </c>
      <c r="N77" s="2">
        <f>(J77*Calc_Moores_Law!R$47)/AB$4</f>
        <v>36009.005809663999</v>
      </c>
      <c r="O77" s="34">
        <f>O14</f>
        <v>208</v>
      </c>
      <c r="P77" s="401">
        <f>P14+((J77-J14)/AB2)*(J89)</f>
        <v>72500</v>
      </c>
      <c r="Q77" s="7" t="s">
        <v>45</v>
      </c>
      <c r="R77" s="7">
        <v>1</v>
      </c>
      <c r="S77" s="92" t="s">
        <v>45</v>
      </c>
      <c r="T77" s="2">
        <f>T14+4000*S87</f>
        <v>2700</v>
      </c>
      <c r="U77" s="34">
        <f>U14</f>
        <v>60</v>
      </c>
      <c r="V77" s="34">
        <f>V14</f>
        <v>3500</v>
      </c>
      <c r="W77" s="108">
        <f>W14</f>
        <v>7000</v>
      </c>
      <c r="X77" s="108">
        <f>X14</f>
        <v>14000</v>
      </c>
      <c r="Y77" s="93" t="s">
        <v>45</v>
      </c>
      <c r="Z77" s="766">
        <f>X77/T77</f>
        <v>5.1851851851851851</v>
      </c>
      <c r="AA77">
        <f t="shared" si="3"/>
        <v>68</v>
      </c>
    </row>
    <row r="78" spans="1:29" ht="15" thickBot="1" x14ac:dyDescent="0.4">
      <c r="B78">
        <f t="shared" si="0"/>
        <v>70</v>
      </c>
      <c r="C78" s="27" t="s">
        <v>1942</v>
      </c>
      <c r="D78" s="669" t="s">
        <v>1074</v>
      </c>
      <c r="E78" s="85" t="s">
        <v>1130</v>
      </c>
      <c r="F78" s="444"/>
      <c r="G78" s="670" t="s">
        <v>45</v>
      </c>
      <c r="H78" s="669" t="s">
        <v>1216</v>
      </c>
      <c r="I78" s="671" t="s">
        <v>45</v>
      </c>
      <c r="J78" s="672">
        <f>15*4*AB2</f>
        <v>60000</v>
      </c>
      <c r="K78" s="672"/>
      <c r="L78" s="754" t="s">
        <v>45</v>
      </c>
      <c r="M78" s="671">
        <f>7.4*15</f>
        <v>111</v>
      </c>
      <c r="N78" s="673" t="s">
        <v>45</v>
      </c>
      <c r="O78" s="673" t="s">
        <v>45</v>
      </c>
      <c r="P78" s="674">
        <f>15*269</f>
        <v>4035</v>
      </c>
      <c r="Q78" s="669" t="s">
        <v>45</v>
      </c>
      <c r="R78" s="669" t="s">
        <v>45</v>
      </c>
      <c r="S78" s="675" t="s">
        <v>45</v>
      </c>
      <c r="T78" s="673" t="s">
        <v>1078</v>
      </c>
      <c r="U78" s="673" t="s">
        <v>45</v>
      </c>
      <c r="V78" s="673" t="s">
        <v>45</v>
      </c>
      <c r="W78" s="671" t="s">
        <v>45</v>
      </c>
      <c r="X78" s="671" t="s">
        <v>45</v>
      </c>
      <c r="Y78" s="676" t="s">
        <v>45</v>
      </c>
      <c r="Z78" s="770" t="s">
        <v>45</v>
      </c>
      <c r="AA78">
        <f t="shared" si="3"/>
        <v>69</v>
      </c>
    </row>
    <row r="79" spans="1:29" ht="15" thickTop="1" x14ac:dyDescent="0.35">
      <c r="C79" s="44"/>
      <c r="D79" s="31"/>
      <c r="E79" s="31"/>
      <c r="F79" s="31"/>
      <c r="G79" s="31"/>
      <c r="H79" s="31"/>
      <c r="I79" s="31"/>
      <c r="J79" s="31"/>
      <c r="K79" s="31"/>
      <c r="L79" s="31"/>
      <c r="M79" s="31"/>
      <c r="N79" s="31"/>
      <c r="O79" s="31"/>
      <c r="P79" s="31"/>
      <c r="Q79" s="31"/>
      <c r="R79" s="31"/>
      <c r="S79" s="31"/>
      <c r="T79" s="32"/>
      <c r="U79" s="32"/>
      <c r="V79" s="32"/>
      <c r="W79" s="32"/>
      <c r="X79" s="32"/>
      <c r="Y79" s="33"/>
      <c r="Z79" s="33"/>
    </row>
    <row r="80" spans="1:29" x14ac:dyDescent="0.35">
      <c r="I80" s="8" t="s">
        <v>1079</v>
      </c>
      <c r="J80" s="118">
        <f>(J76/M78)/60</f>
        <v>6.0348348348348351</v>
      </c>
      <c r="K80" s="118"/>
      <c r="L80" s="118"/>
      <c r="M80" s="8" t="s">
        <v>1080</v>
      </c>
      <c r="Q80">
        <f>1260*4.1%</f>
        <v>51.66</v>
      </c>
      <c r="T80" s="6"/>
      <c r="U80" s="6"/>
      <c r="V80" s="6"/>
      <c r="W80" s="6"/>
      <c r="X80" s="6"/>
      <c r="Y80" s="12"/>
      <c r="Z80" s="12"/>
      <c r="AA80" s="12"/>
    </row>
    <row r="81" spans="3:22" x14ac:dyDescent="0.35">
      <c r="C81" t="s">
        <v>379</v>
      </c>
      <c r="N81" s="8" t="s">
        <v>1118</v>
      </c>
    </row>
    <row r="82" spans="3:22" x14ac:dyDescent="0.35">
      <c r="C82" t="s">
        <v>95</v>
      </c>
      <c r="D82" s="14" t="s">
        <v>112</v>
      </c>
      <c r="E82" t="s">
        <v>45</v>
      </c>
      <c r="N82" t="s">
        <v>998</v>
      </c>
    </row>
    <row r="83" spans="3:22" x14ac:dyDescent="0.35">
      <c r="C83" t="s">
        <v>811</v>
      </c>
      <c r="N83" t="s">
        <v>836</v>
      </c>
      <c r="U83" s="137" t="s">
        <v>38</v>
      </c>
    </row>
    <row r="84" spans="3:22" x14ac:dyDescent="0.35">
      <c r="C84" t="s">
        <v>105</v>
      </c>
      <c r="D84" s="14" t="s">
        <v>313</v>
      </c>
      <c r="U84" s="137"/>
    </row>
    <row r="85" spans="3:22" x14ac:dyDescent="0.35">
      <c r="C85" s="103" t="s">
        <v>828</v>
      </c>
      <c r="D85" s="103"/>
      <c r="E85" s="103"/>
      <c r="F85" s="103"/>
      <c r="G85" s="103"/>
      <c r="H85" s="103"/>
      <c r="I85" s="103" t="s">
        <v>138</v>
      </c>
      <c r="J85" s="102">
        <v>2000</v>
      </c>
      <c r="K85" s="102"/>
      <c r="L85" s="102"/>
      <c r="N85" t="s">
        <v>430</v>
      </c>
      <c r="U85" s="14" t="s">
        <v>426</v>
      </c>
    </row>
    <row r="86" spans="3:22" x14ac:dyDescent="0.35">
      <c r="C86" s="1"/>
      <c r="D86" s="1"/>
      <c r="E86" s="1"/>
      <c r="F86" s="1"/>
      <c r="G86" s="1"/>
      <c r="H86" s="1"/>
      <c r="I86" s="1"/>
      <c r="J86" s="1"/>
      <c r="K86" s="1"/>
      <c r="L86" s="1"/>
      <c r="N86" t="s">
        <v>451</v>
      </c>
      <c r="Q86">
        <v>8</v>
      </c>
      <c r="S86" s="12">
        <v>3</v>
      </c>
      <c r="T86" t="s">
        <v>204</v>
      </c>
      <c r="U86" s="14" t="s">
        <v>431</v>
      </c>
      <c r="V86" t="s">
        <v>837</v>
      </c>
    </row>
    <row r="87" spans="3:22" x14ac:dyDescent="0.35">
      <c r="C87" t="s">
        <v>822</v>
      </c>
      <c r="N87" t="s">
        <v>838</v>
      </c>
      <c r="Q87">
        <v>1</v>
      </c>
      <c r="S87">
        <v>0.5</v>
      </c>
      <c r="T87" t="s">
        <v>204</v>
      </c>
      <c r="V87" t="s">
        <v>999</v>
      </c>
    </row>
    <row r="88" spans="3:22" x14ac:dyDescent="0.35">
      <c r="C88" t="s">
        <v>823</v>
      </c>
    </row>
    <row r="89" spans="3:22" x14ac:dyDescent="0.35">
      <c r="D89" s="103">
        <v>5</v>
      </c>
      <c r="E89" s="103" t="s">
        <v>1116</v>
      </c>
      <c r="F89" s="103"/>
      <c r="G89" s="103"/>
      <c r="H89" s="103"/>
      <c r="I89" s="103" t="s">
        <v>827</v>
      </c>
      <c r="J89" s="102">
        <f>D89*J85</f>
        <v>10000</v>
      </c>
      <c r="K89" s="102"/>
      <c r="L89" s="102"/>
    </row>
    <row r="90" spans="3:22" x14ac:dyDescent="0.35">
      <c r="D90" s="103" t="s">
        <v>824</v>
      </c>
      <c r="E90" s="105" t="s">
        <v>825</v>
      </c>
      <c r="F90" s="1" t="s">
        <v>45</v>
      </c>
      <c r="G90" s="1"/>
      <c r="H90" s="1"/>
      <c r="I90" s="1"/>
      <c r="J90" s="1"/>
      <c r="K90" s="1"/>
      <c r="L90" s="1"/>
    </row>
    <row r="92" spans="3:22" x14ac:dyDescent="0.35">
      <c r="C92" s="8" t="s">
        <v>795</v>
      </c>
    </row>
    <row r="93" spans="3:22" x14ac:dyDescent="0.35">
      <c r="C93" s="8" t="s">
        <v>105</v>
      </c>
      <c r="D93" s="14" t="s">
        <v>96</v>
      </c>
      <c r="E93" t="s">
        <v>45</v>
      </c>
      <c r="M93" t="s">
        <v>107</v>
      </c>
    </row>
    <row r="94" spans="3:22" x14ac:dyDescent="0.35">
      <c r="D94" t="s">
        <v>97</v>
      </c>
      <c r="E94" s="8" t="s">
        <v>100</v>
      </c>
      <c r="F94" s="8" t="s">
        <v>102</v>
      </c>
      <c r="G94" t="s">
        <v>102</v>
      </c>
      <c r="I94" s="14" t="s">
        <v>106</v>
      </c>
      <c r="J94" t="s">
        <v>105</v>
      </c>
      <c r="O94" t="s">
        <v>45</v>
      </c>
    </row>
    <row r="95" spans="3:22" x14ac:dyDescent="0.35">
      <c r="D95" t="s">
        <v>99</v>
      </c>
      <c r="E95" t="s">
        <v>101</v>
      </c>
      <c r="F95" s="8" t="s">
        <v>172</v>
      </c>
      <c r="G95" t="s">
        <v>174</v>
      </c>
      <c r="J95" t="s">
        <v>189</v>
      </c>
    </row>
    <row r="96" spans="3:22" x14ac:dyDescent="0.35">
      <c r="F96" s="8"/>
    </row>
    <row r="97" spans="3:24" x14ac:dyDescent="0.35">
      <c r="C97" t="s">
        <v>98</v>
      </c>
      <c r="D97">
        <v>7</v>
      </c>
      <c r="E97">
        <v>6</v>
      </c>
      <c r="F97" s="12">
        <f>D97/E97</f>
        <v>1.1666666666666667</v>
      </c>
      <c r="G97" s="12">
        <f>E97/D97</f>
        <v>0.8571428571428571</v>
      </c>
      <c r="H97" s="12"/>
      <c r="J97">
        <v>3</v>
      </c>
      <c r="M97" t="s">
        <v>404</v>
      </c>
    </row>
    <row r="98" spans="3:24" x14ac:dyDescent="0.35">
      <c r="C98" t="s">
        <v>98</v>
      </c>
      <c r="D98">
        <v>13</v>
      </c>
      <c r="E98">
        <v>10</v>
      </c>
      <c r="F98" s="12">
        <f>D98/E98</f>
        <v>1.3</v>
      </c>
      <c r="G98" s="12">
        <f>E98/D98</f>
        <v>0.76923076923076927</v>
      </c>
      <c r="H98" s="12"/>
      <c r="J98" s="8" t="s">
        <v>380</v>
      </c>
      <c r="K98" s="8"/>
      <c r="L98" s="8"/>
      <c r="M98" s="103" t="s">
        <v>456</v>
      </c>
      <c r="N98" s="103"/>
      <c r="O98" s="103"/>
      <c r="P98" s="103"/>
      <c r="Q98" s="103">
        <v>2</v>
      </c>
      <c r="R98" s="103" t="s">
        <v>455</v>
      </c>
      <c r="S98" s="103"/>
    </row>
    <row r="99" spans="3:24" x14ac:dyDescent="0.35">
      <c r="C99" t="s">
        <v>98</v>
      </c>
      <c r="D99">
        <v>30</v>
      </c>
      <c r="E99">
        <v>20</v>
      </c>
      <c r="F99" s="12">
        <f>D99/E99</f>
        <v>1.5</v>
      </c>
      <c r="G99" s="12">
        <f>E99/D99</f>
        <v>0.66666666666666663</v>
      </c>
      <c r="H99" s="12"/>
      <c r="J99" s="118">
        <f>F101/J97</f>
        <v>0.46597222222222223</v>
      </c>
      <c r="K99" s="118"/>
      <c r="L99" s="118"/>
      <c r="M99" t="s">
        <v>105</v>
      </c>
      <c r="N99" s="14" t="s">
        <v>402</v>
      </c>
    </row>
    <row r="100" spans="3:24" x14ac:dyDescent="0.35">
      <c r="C100" t="s">
        <v>98</v>
      </c>
      <c r="D100">
        <v>65</v>
      </c>
      <c r="E100">
        <v>40</v>
      </c>
      <c r="F100" s="12">
        <f>D100/E100</f>
        <v>1.625</v>
      </c>
      <c r="G100" s="12">
        <f>E100/D100</f>
        <v>0.61538461538461542</v>
      </c>
      <c r="H100" s="12"/>
      <c r="I100">
        <f>AI_Models!J174</f>
        <v>2.4</v>
      </c>
      <c r="J100" t="s">
        <v>2386</v>
      </c>
      <c r="L100" t="s">
        <v>105</v>
      </c>
      <c r="M100" s="14" t="s">
        <v>804</v>
      </c>
      <c r="N100" t="s">
        <v>45</v>
      </c>
    </row>
    <row r="101" spans="3:24" x14ac:dyDescent="0.35">
      <c r="C101" t="s">
        <v>103</v>
      </c>
      <c r="F101" s="118">
        <f>AVERAGE(F97:F100)</f>
        <v>1.3979166666666667</v>
      </c>
      <c r="G101" s="12">
        <f>AVERAGE(G97:G100)</f>
        <v>0.72710622710622708</v>
      </c>
      <c r="H101" s="12"/>
      <c r="I101">
        <f>AI_Models!J175</f>
        <v>1.2</v>
      </c>
      <c r="J101" t="s">
        <v>2387</v>
      </c>
      <c r="L101" s="8" t="s">
        <v>45</v>
      </c>
    </row>
    <row r="102" spans="3:24" x14ac:dyDescent="0.35">
      <c r="F102" s="118"/>
      <c r="G102" s="12"/>
      <c r="H102" s="12"/>
      <c r="I102">
        <f>AI_Models!J176</f>
        <v>0.6</v>
      </c>
      <c r="J102" t="s">
        <v>2388</v>
      </c>
      <c r="L102" s="8" t="s">
        <v>45</v>
      </c>
    </row>
    <row r="103" spans="3:24" x14ac:dyDescent="0.35">
      <c r="C103" s="8" t="s">
        <v>267</v>
      </c>
    </row>
    <row r="104" spans="3:24" x14ac:dyDescent="0.35">
      <c r="C104" t="s">
        <v>105</v>
      </c>
      <c r="D104" s="14" t="s">
        <v>248</v>
      </c>
      <c r="E104" t="s">
        <v>45</v>
      </c>
    </row>
    <row r="105" spans="3:24" x14ac:dyDescent="0.35">
      <c r="E105" s="8" t="s">
        <v>180</v>
      </c>
      <c r="F105" s="8" t="s">
        <v>270</v>
      </c>
      <c r="I105" s="8" t="s">
        <v>0</v>
      </c>
      <c r="J105" s="8" t="s">
        <v>102</v>
      </c>
      <c r="K105" s="8"/>
      <c r="L105" s="8"/>
    </row>
    <row r="106" spans="3:24" x14ac:dyDescent="0.35">
      <c r="E106" s="8"/>
      <c r="F106" s="8"/>
      <c r="I106" s="8"/>
      <c r="J106" s="8"/>
      <c r="K106" s="8"/>
      <c r="L106" s="8"/>
      <c r="M106" s="103" t="s">
        <v>948</v>
      </c>
      <c r="N106" s="103"/>
      <c r="O106" s="103"/>
      <c r="P106" s="103"/>
      <c r="Q106" s="103"/>
      <c r="R106" s="103"/>
      <c r="S106" s="399">
        <f>F108/E108</f>
        <v>24.41505595116989</v>
      </c>
      <c r="T106" s="103" t="s">
        <v>1850</v>
      </c>
      <c r="U106" s="103"/>
      <c r="V106" s="103"/>
      <c r="W106" s="103"/>
      <c r="X106" s="103"/>
    </row>
    <row r="107" spans="3:24" x14ac:dyDescent="0.35">
      <c r="E107" s="8" t="s">
        <v>99</v>
      </c>
      <c r="F107" s="8" t="s">
        <v>271</v>
      </c>
      <c r="J107" s="8" t="s">
        <v>1008</v>
      </c>
      <c r="K107" s="8"/>
      <c r="L107" s="8"/>
    </row>
    <row r="108" spans="3:24" x14ac:dyDescent="0.35">
      <c r="D108" t="s">
        <v>268</v>
      </c>
      <c r="E108">
        <f>0.86+0.123</f>
        <v>0.98299999999999998</v>
      </c>
      <c r="F108">
        <f>16+8</f>
        <v>24</v>
      </c>
      <c r="I108">
        <f>F108*J108</f>
        <v>0.98299999999999998</v>
      </c>
      <c r="J108" s="118">
        <f>E108/F108</f>
        <v>4.0958333333333333E-2</v>
      </c>
      <c r="K108" s="118"/>
      <c r="L108" s="118"/>
    </row>
    <row r="109" spans="3:24" x14ac:dyDescent="0.35">
      <c r="D109" t="s">
        <v>269</v>
      </c>
    </row>
    <row r="110" spans="3:24" x14ac:dyDescent="0.35">
      <c r="D110" t="s">
        <v>105</v>
      </c>
      <c r="E110" s="14" t="s">
        <v>244</v>
      </c>
      <c r="F110" s="14" t="s">
        <v>248</v>
      </c>
      <c r="G110" t="s">
        <v>45</v>
      </c>
    </row>
    <row r="111" spans="3:24" x14ac:dyDescent="0.35">
      <c r="C111" t="s">
        <v>1000</v>
      </c>
    </row>
    <row r="112" spans="3:24" x14ac:dyDescent="0.35">
      <c r="C112" t="s">
        <v>105</v>
      </c>
      <c r="D112" s="14" t="s">
        <v>274</v>
      </c>
    </row>
    <row r="113" spans="2:29" x14ac:dyDescent="0.35">
      <c r="T113" s="6"/>
      <c r="U113" s="6"/>
      <c r="V113" s="6"/>
      <c r="W113" s="6"/>
      <c r="X113" s="6"/>
      <c r="Y113" s="12"/>
      <c r="Z113" s="12"/>
      <c r="AA113" s="12"/>
    </row>
    <row r="114" spans="2:29" ht="24" thickBot="1" x14ac:dyDescent="0.6">
      <c r="C114" s="11" t="s">
        <v>38</v>
      </c>
      <c r="Z114" s="12"/>
      <c r="AA114" s="8"/>
      <c r="AB114" s="8" t="s">
        <v>32</v>
      </c>
    </row>
    <row r="115" spans="2:29" ht="15" thickTop="1" x14ac:dyDescent="0.35">
      <c r="C115" s="18" t="str">
        <f t="shared" ref="C115:Z115" si="10">C6</f>
        <v>Chip name</v>
      </c>
      <c r="D115" s="19" t="str">
        <f t="shared" si="10"/>
        <v xml:space="preserve">Year </v>
      </c>
      <c r="E115" s="19" t="str">
        <f t="shared" si="10"/>
        <v>Chip type</v>
      </c>
      <c r="F115" s="19" t="str">
        <f t="shared" si="10"/>
        <v># of</v>
      </c>
      <c r="G115" s="19" t="str">
        <f t="shared" si="10"/>
        <v>Process</v>
      </c>
      <c r="H115" s="19" t="str">
        <f t="shared" si="10"/>
        <v>Made</v>
      </c>
      <c r="I115" s="19" t="str">
        <f t="shared" si="10"/>
        <v>AI model</v>
      </c>
      <c r="J115" s="19" t="str">
        <f t="shared" si="10"/>
        <v>HBM memory</v>
      </c>
      <c r="K115" s="19" t="str">
        <f t="shared" ref="K115" si="11">K6</f>
        <v>CPU memory</v>
      </c>
      <c r="L115" s="19" t="str">
        <f t="shared" ref="L115" si="12">L6</f>
        <v>On-bord L2</v>
      </c>
      <c r="M115" s="19" t="str">
        <f t="shared" si="10"/>
        <v>Memory</v>
      </c>
      <c r="N115" s="19" t="str">
        <f t="shared" si="10"/>
        <v>Transistors</v>
      </c>
      <c r="O115" s="19" t="str">
        <f t="shared" si="10"/>
        <v>Transistors</v>
      </c>
      <c r="P115" s="19" t="str">
        <f t="shared" si="10"/>
        <v>Cost USD</v>
      </c>
      <c r="Q115" s="19" t="str">
        <f t="shared" si="10"/>
        <v>Die size</v>
      </c>
      <c r="R115" s="19" t="str">
        <f t="shared" si="10"/>
        <v>Layers</v>
      </c>
      <c r="S115" s="19" t="str">
        <f t="shared" si="10"/>
        <v xml:space="preserve">Transistors </v>
      </c>
      <c r="T115" s="19" t="str">
        <f t="shared" si="10"/>
        <v xml:space="preserve">Watt </v>
      </c>
      <c r="U115" s="19" t="str">
        <f t="shared" si="10"/>
        <v>TFLOPS</v>
      </c>
      <c r="V115" s="19" t="str">
        <f t="shared" si="10"/>
        <v>TFLOPS</v>
      </c>
      <c r="W115" s="19" t="str">
        <f t="shared" si="10"/>
        <v>TFLOPS</v>
      </c>
      <c r="X115" s="19" t="str">
        <f t="shared" si="10"/>
        <v>TFLOPS</v>
      </c>
      <c r="Y115" s="19" t="str">
        <f t="shared" si="10"/>
        <v>TFLOPS</v>
      </c>
      <c r="Z115" s="20" t="str">
        <f t="shared" si="10"/>
        <v>TFLOPS</v>
      </c>
      <c r="AA115" s="8"/>
    </row>
    <row r="116" spans="2:29" x14ac:dyDescent="0.35">
      <c r="C116" s="21"/>
      <c r="D116" s="13" t="str">
        <f t="shared" ref="D116:Z116" si="13">D7</f>
        <v>made</v>
      </c>
      <c r="E116" s="13" t="str">
        <f t="shared" si="13"/>
        <v>description</v>
      </c>
      <c r="F116" s="13" t="str">
        <f t="shared" si="13"/>
        <v>dies</v>
      </c>
      <c r="G116" s="13" t="str">
        <f t="shared" si="13"/>
        <v>node nm</v>
      </c>
      <c r="H116" s="13" t="str">
        <f t="shared" si="13"/>
        <v xml:space="preserve">in </v>
      </c>
      <c r="I116" s="13" t="str">
        <f t="shared" si="13"/>
        <v>in billion</v>
      </c>
      <c r="J116" s="13" t="str">
        <f t="shared" si="13"/>
        <v xml:space="preserve">on chipset </v>
      </c>
      <c r="K116" s="13" t="str">
        <f t="shared" ref="K116" si="14">K7</f>
        <v>on chipset</v>
      </c>
      <c r="L116" s="13" t="str">
        <f t="shared" ref="L116" si="15">L7</f>
        <v>chip memory (L2 cache)</v>
      </c>
      <c r="M116" s="13" t="str">
        <f t="shared" si="13"/>
        <v>bandwidth</v>
      </c>
      <c r="N116" s="13" t="str">
        <f t="shared" si="13"/>
        <v>in billions</v>
      </c>
      <c r="O116" s="13" t="str">
        <f t="shared" si="13"/>
        <v>in billions</v>
      </c>
      <c r="P116" s="13" t="str">
        <f t="shared" si="13"/>
        <v>system in</v>
      </c>
      <c r="Q116" s="13" t="str">
        <f t="shared" si="13"/>
        <v xml:space="preserve">m </v>
      </c>
      <c r="R116" s="13" t="str">
        <f t="shared" si="13"/>
        <v>stacked</v>
      </c>
      <c r="S116" s="13" t="str">
        <f t="shared" si="13"/>
        <v xml:space="preserve">millions per </v>
      </c>
      <c r="T116" s="13" t="str">
        <f t="shared" si="13"/>
        <v>usage</v>
      </c>
      <c r="U116" s="13" t="str">
        <f t="shared" si="13"/>
        <v>FP32</v>
      </c>
      <c r="V116" s="13" t="str">
        <f t="shared" si="13"/>
        <v>FP16</v>
      </c>
      <c r="W116" s="13" t="str">
        <f t="shared" si="13"/>
        <v>FP8 INT8</v>
      </c>
      <c r="X116" s="13" t="str">
        <f t="shared" si="13"/>
        <v>FP4</v>
      </c>
      <c r="Y116" s="13" t="str">
        <f t="shared" si="13"/>
        <v>per Watt</v>
      </c>
      <c r="Z116" s="22" t="str">
        <f t="shared" si="13"/>
        <v>per Watt</v>
      </c>
      <c r="AA116" s="8"/>
    </row>
    <row r="117" spans="2:29" ht="15" thickBot="1" x14ac:dyDescent="0.4">
      <c r="C117" s="181"/>
      <c r="D117" s="173"/>
      <c r="E117" s="173"/>
      <c r="F117" s="173"/>
      <c r="G117" s="173"/>
      <c r="H117" s="173" t="str">
        <f t="shared" ref="H117:O117" si="16">H8</f>
        <v>country</v>
      </c>
      <c r="I117" s="173" t="str">
        <f t="shared" si="16"/>
        <v>parameters</v>
      </c>
      <c r="J117" s="173" t="str">
        <f t="shared" si="16"/>
        <v xml:space="preserve">RAM in GB </v>
      </c>
      <c r="K117" s="173" t="str">
        <f t="shared" ref="K117" si="17">K8</f>
        <v xml:space="preserve">RAM in GB </v>
      </c>
      <c r="L117" s="173" t="str">
        <f t="shared" ref="L117" si="18">L8</f>
        <v>RAM in GB</v>
      </c>
      <c r="M117" s="173" t="str">
        <f t="shared" si="16"/>
        <v>GB/s</v>
      </c>
      <c r="N117" s="173" t="str">
        <f t="shared" si="16"/>
        <v>for RAM</v>
      </c>
      <c r="O117" s="173" t="str">
        <f t="shared" si="16"/>
        <v>for chip</v>
      </c>
      <c r="P117" s="173" t="str">
        <f>$P$8</f>
        <v>year made</v>
      </c>
      <c r="Q117" s="173" t="str">
        <f>Q8</f>
        <v>mm2</v>
      </c>
      <c r="R117" s="173"/>
      <c r="S117" s="173" t="str">
        <f>S8</f>
        <v>mm2 per layer</v>
      </c>
      <c r="T117" s="173"/>
      <c r="U117" s="173" t="str">
        <f t="shared" ref="U117:Z117" si="19">U8</f>
        <v>CPU</v>
      </c>
      <c r="V117" s="173" t="str">
        <f t="shared" si="19"/>
        <v>GPU</v>
      </c>
      <c r="W117" s="173" t="str">
        <f t="shared" si="19"/>
        <v>BF16 AI</v>
      </c>
      <c r="X117" s="173" t="str">
        <f t="shared" si="19"/>
        <v>Inference</v>
      </c>
      <c r="Y117" s="173" t="str">
        <f t="shared" si="19"/>
        <v>FP32 CPU</v>
      </c>
      <c r="Z117" s="182" t="str">
        <f t="shared" si="19"/>
        <v>best FP</v>
      </c>
    </row>
    <row r="118" spans="2:29" ht="21.5" thickTop="1" x14ac:dyDescent="0.5">
      <c r="B118">
        <v>1</v>
      </c>
      <c r="C118" s="699" t="str">
        <f>C9</f>
        <v>Chips for AI training and inference at datacenters</v>
      </c>
      <c r="D118" s="204"/>
      <c r="E118" s="204"/>
      <c r="F118" s="204"/>
      <c r="G118" s="205"/>
      <c r="H118" s="205"/>
      <c r="I118" s="170"/>
      <c r="J118" s="206"/>
      <c r="K118" s="206"/>
      <c r="L118" s="206"/>
      <c r="M118" s="207"/>
      <c r="N118" s="206"/>
      <c r="O118" s="172"/>
      <c r="P118" s="206"/>
      <c r="Q118" s="206"/>
      <c r="R118" s="206"/>
      <c r="S118" s="205"/>
      <c r="T118" s="172"/>
      <c r="U118" s="208"/>
      <c r="V118" s="172"/>
      <c r="W118" s="172"/>
      <c r="X118" s="172"/>
      <c r="Y118" s="208"/>
      <c r="Z118" s="209"/>
      <c r="AA118">
        <v>1</v>
      </c>
      <c r="AC118" s="38"/>
    </row>
    <row r="119" spans="2:29" x14ac:dyDescent="0.35">
      <c r="B119">
        <f t="shared" ref="B119:B187" si="20">B118+1</f>
        <v>2</v>
      </c>
      <c r="C119" s="23" t="str">
        <f>C10</f>
        <v>Nvidia V100 SXM2</v>
      </c>
      <c r="D119" s="35" t="s">
        <v>494</v>
      </c>
      <c r="E119" s="35" t="s">
        <v>495</v>
      </c>
      <c r="F119" s="35"/>
      <c r="G119" s="35" t="s">
        <v>494</v>
      </c>
      <c r="H119" s="41" t="s">
        <v>1218</v>
      </c>
      <c r="I119" s="106" t="s">
        <v>135</v>
      </c>
      <c r="J119" s="35" t="s">
        <v>494</v>
      </c>
      <c r="K119" s="35"/>
      <c r="L119" s="655" t="s">
        <v>45</v>
      </c>
      <c r="M119" s="96" t="s">
        <v>494</v>
      </c>
      <c r="N119" s="41" t="s">
        <v>289</v>
      </c>
      <c r="O119" s="35" t="s">
        <v>494</v>
      </c>
      <c r="P119" s="42" t="s">
        <v>1629</v>
      </c>
      <c r="Q119" s="35" t="s">
        <v>494</v>
      </c>
      <c r="R119" s="35" t="s">
        <v>45</v>
      </c>
      <c r="S119" s="92" t="s">
        <v>43</v>
      </c>
      <c r="T119" s="158" t="s">
        <v>495</v>
      </c>
      <c r="U119" s="158" t="s">
        <v>495</v>
      </c>
      <c r="V119" s="158" t="s">
        <v>495</v>
      </c>
      <c r="W119" s="99" t="s">
        <v>495</v>
      </c>
      <c r="X119" s="99"/>
      <c r="Y119" s="38" t="s">
        <v>43</v>
      </c>
      <c r="Z119" s="45" t="s">
        <v>43</v>
      </c>
      <c r="AA119">
        <f t="shared" ref="AA119:AA187" si="21">AA118+1</f>
        <v>2</v>
      </c>
    </row>
    <row r="120" spans="2:29" x14ac:dyDescent="0.35">
      <c r="B120">
        <f t="shared" si="20"/>
        <v>3</v>
      </c>
      <c r="C120" s="23" t="str">
        <f>C11</f>
        <v>Nvidia A100 used for GTP-4 training</v>
      </c>
      <c r="D120" s="35" t="s">
        <v>79</v>
      </c>
      <c r="E120" s="35" t="s">
        <v>79</v>
      </c>
      <c r="F120" s="35" t="s">
        <v>80</v>
      </c>
      <c r="G120" s="35" t="s">
        <v>81</v>
      </c>
      <c r="H120" s="41" t="s">
        <v>1218</v>
      </c>
      <c r="I120" s="106" t="s">
        <v>135</v>
      </c>
      <c r="J120" s="35" t="s">
        <v>82</v>
      </c>
      <c r="K120" s="35"/>
      <c r="L120" s="655" t="s">
        <v>45</v>
      </c>
      <c r="M120" s="96" t="s">
        <v>79</v>
      </c>
      <c r="N120" s="41" t="s">
        <v>289</v>
      </c>
      <c r="O120" s="35" t="s">
        <v>83</v>
      </c>
      <c r="P120" s="42" t="s">
        <v>443</v>
      </c>
      <c r="Q120" s="35" t="s">
        <v>84</v>
      </c>
      <c r="R120" s="35" t="s">
        <v>85</v>
      </c>
      <c r="S120" s="92" t="s">
        <v>43</v>
      </c>
      <c r="T120" s="158" t="s">
        <v>79</v>
      </c>
      <c r="U120" s="158" t="s">
        <v>79</v>
      </c>
      <c r="V120" s="158" t="s">
        <v>80</v>
      </c>
      <c r="W120" s="99" t="s">
        <v>81</v>
      </c>
      <c r="X120" s="99"/>
      <c r="Y120" s="38" t="s">
        <v>43</v>
      </c>
      <c r="Z120" s="45" t="s">
        <v>43</v>
      </c>
      <c r="AA120">
        <f t="shared" si="21"/>
        <v>3</v>
      </c>
    </row>
    <row r="121" spans="2:29" x14ac:dyDescent="0.35">
      <c r="B121">
        <f t="shared" si="20"/>
        <v>4</v>
      </c>
      <c r="C121" s="23" t="str">
        <f>C12</f>
        <v xml:space="preserve">Nvidia H100 SXM </v>
      </c>
      <c r="D121" s="35" t="s">
        <v>49</v>
      </c>
      <c r="E121" s="39" t="s">
        <v>49</v>
      </c>
      <c r="F121" s="39" t="s">
        <v>49</v>
      </c>
      <c r="G121" s="35" t="s">
        <v>50</v>
      </c>
      <c r="H121" s="41" t="s">
        <v>1218</v>
      </c>
      <c r="I121" s="106" t="s">
        <v>135</v>
      </c>
      <c r="J121" s="35" t="s">
        <v>48</v>
      </c>
      <c r="K121" s="35"/>
      <c r="L121" s="35" t="s">
        <v>2224</v>
      </c>
      <c r="M121" s="96" t="s">
        <v>48</v>
      </c>
      <c r="N121" s="41" t="s">
        <v>289</v>
      </c>
      <c r="O121" s="42" t="s">
        <v>142</v>
      </c>
      <c r="P121" s="42" t="s">
        <v>142</v>
      </c>
      <c r="Q121" s="42" t="s">
        <v>142</v>
      </c>
      <c r="R121" s="36" t="s">
        <v>45</v>
      </c>
      <c r="S121" s="92" t="s">
        <v>43</v>
      </c>
      <c r="T121" s="40" t="s">
        <v>48</v>
      </c>
      <c r="U121" s="40" t="s">
        <v>48</v>
      </c>
      <c r="V121" s="40" t="s">
        <v>48</v>
      </c>
      <c r="W121" s="99" t="s">
        <v>48</v>
      </c>
      <c r="X121" s="99"/>
      <c r="Y121" s="38" t="s">
        <v>43</v>
      </c>
      <c r="Z121" s="45" t="s">
        <v>43</v>
      </c>
      <c r="AA121">
        <f t="shared" si="21"/>
        <v>4</v>
      </c>
    </row>
    <row r="122" spans="2:29" x14ac:dyDescent="0.35">
      <c r="B122">
        <f t="shared" si="20"/>
        <v>5</v>
      </c>
      <c r="C122" s="23" t="str">
        <f>C13</f>
        <v>Nvidia H800 PCIe adapter made for China later banned see https://www.cimphony.ai/insights/us-ai-chip-export-restrictions-impact-on-nvidia-amd</v>
      </c>
      <c r="D122" s="35" t="s">
        <v>1744</v>
      </c>
      <c r="E122" s="39" t="s">
        <v>1743</v>
      </c>
      <c r="F122" s="39" t="s">
        <v>45</v>
      </c>
      <c r="G122" s="35" t="s">
        <v>1744</v>
      </c>
      <c r="H122" s="41" t="s">
        <v>1218</v>
      </c>
      <c r="I122" s="106" t="s">
        <v>135</v>
      </c>
      <c r="J122" s="35" t="s">
        <v>1743</v>
      </c>
      <c r="K122" s="35"/>
      <c r="L122" s="655" t="s">
        <v>45</v>
      </c>
      <c r="M122" s="96" t="s">
        <v>1743</v>
      </c>
      <c r="N122" s="41" t="s">
        <v>289</v>
      </c>
      <c r="O122" s="42" t="s">
        <v>1744</v>
      </c>
      <c r="P122" s="42" t="s">
        <v>1745</v>
      </c>
      <c r="Q122" s="42" t="s">
        <v>45</v>
      </c>
      <c r="R122" s="36" t="s">
        <v>45</v>
      </c>
      <c r="S122" s="92" t="s">
        <v>45</v>
      </c>
      <c r="T122" s="40" t="s">
        <v>1743</v>
      </c>
      <c r="U122" s="40" t="s">
        <v>1743</v>
      </c>
      <c r="V122" s="40" t="s">
        <v>1743</v>
      </c>
      <c r="W122" s="99" t="s">
        <v>1743</v>
      </c>
      <c r="X122" s="99" t="s">
        <v>45</v>
      </c>
      <c r="Y122" s="38" t="s">
        <v>43</v>
      </c>
      <c r="Z122" s="45" t="s">
        <v>43</v>
      </c>
      <c r="AA122">
        <f t="shared" si="21"/>
        <v>5</v>
      </c>
    </row>
    <row r="123" spans="2:29" x14ac:dyDescent="0.35">
      <c r="B123">
        <f t="shared" si="20"/>
        <v>6</v>
      </c>
      <c r="C123" s="23" t="str">
        <f>C14</f>
        <v>Nvidia B100 Blackwell, air cooled</v>
      </c>
      <c r="D123" s="35" t="s">
        <v>709</v>
      </c>
      <c r="E123" s="35" t="s">
        <v>710</v>
      </c>
      <c r="F123" s="35" t="s">
        <v>711</v>
      </c>
      <c r="G123" s="35" t="s">
        <v>712</v>
      </c>
      <c r="H123" s="41" t="s">
        <v>1218</v>
      </c>
      <c r="I123" s="35" t="s">
        <v>714</v>
      </c>
      <c r="J123" s="35" t="s">
        <v>713</v>
      </c>
      <c r="K123" s="35"/>
      <c r="L123" s="655" t="s">
        <v>45</v>
      </c>
      <c r="M123" s="35" t="s">
        <v>715</v>
      </c>
      <c r="N123" s="35" t="s">
        <v>716</v>
      </c>
      <c r="O123" s="35" t="s">
        <v>746</v>
      </c>
      <c r="P123" s="14" t="s">
        <v>786</v>
      </c>
      <c r="Q123" s="35" t="s">
        <v>717</v>
      </c>
      <c r="R123" s="35" t="s">
        <v>718</v>
      </c>
      <c r="S123" s="35" t="s">
        <v>719</v>
      </c>
      <c r="T123" s="35" t="s">
        <v>759</v>
      </c>
      <c r="U123" s="35" t="s">
        <v>1954</v>
      </c>
      <c r="V123" s="35" t="s">
        <v>759</v>
      </c>
      <c r="W123" s="35" t="s">
        <v>896</v>
      </c>
      <c r="X123" s="35" t="s">
        <v>896</v>
      </c>
      <c r="Y123" s="38" t="s">
        <v>43</v>
      </c>
      <c r="Z123" s="45" t="s">
        <v>43</v>
      </c>
      <c r="AA123">
        <f t="shared" si="21"/>
        <v>6</v>
      </c>
      <c r="AB123" s="35" t="s">
        <v>720</v>
      </c>
    </row>
    <row r="124" spans="2:29" x14ac:dyDescent="0.35">
      <c r="B124">
        <f t="shared" si="20"/>
        <v>7</v>
      </c>
      <c r="C124" s="23" t="str">
        <f>C15</f>
        <v>Nvidia B200 Blackwell, liquid cooled</v>
      </c>
      <c r="D124" s="35" t="s">
        <v>896</v>
      </c>
      <c r="E124" s="35" t="s">
        <v>896</v>
      </c>
      <c r="F124" s="35" t="s">
        <v>896</v>
      </c>
      <c r="G124" s="35" t="s">
        <v>713</v>
      </c>
      <c r="H124" s="41" t="s">
        <v>1218</v>
      </c>
      <c r="I124" s="106" t="s">
        <v>135</v>
      </c>
      <c r="J124" s="35" t="s">
        <v>896</v>
      </c>
      <c r="K124" s="35"/>
      <c r="L124" s="655" t="s">
        <v>45</v>
      </c>
      <c r="M124" s="35" t="s">
        <v>896</v>
      </c>
      <c r="N124" s="35"/>
      <c r="O124" s="35"/>
      <c r="P124" s="14" t="s">
        <v>786</v>
      </c>
      <c r="Q124" s="35"/>
      <c r="R124" s="35"/>
      <c r="S124" s="35"/>
      <c r="T124" s="35" t="s">
        <v>896</v>
      </c>
      <c r="U124" s="35" t="s">
        <v>1954</v>
      </c>
      <c r="V124" s="35" t="s">
        <v>896</v>
      </c>
      <c r="W124" s="35" t="s">
        <v>896</v>
      </c>
      <c r="X124" s="35" t="s">
        <v>896</v>
      </c>
      <c r="Y124" s="38" t="s">
        <v>43</v>
      </c>
      <c r="Z124" s="45" t="s">
        <v>43</v>
      </c>
      <c r="AA124">
        <f t="shared" si="21"/>
        <v>7</v>
      </c>
    </row>
    <row r="125" spans="2:29" x14ac:dyDescent="0.35">
      <c r="B125">
        <f t="shared" si="20"/>
        <v>8</v>
      </c>
      <c r="C125" s="23" t="str">
        <f>C16</f>
        <v>Nvidia GH200 chipset CPU+GPU</v>
      </c>
      <c r="D125" s="35" t="s">
        <v>437</v>
      </c>
      <c r="E125" s="35" t="s">
        <v>91</v>
      </c>
      <c r="F125" s="35" t="s">
        <v>91</v>
      </c>
      <c r="G125" s="35" t="s">
        <v>91</v>
      </c>
      <c r="H125" s="41" t="s">
        <v>1218</v>
      </c>
      <c r="I125" s="106" t="s">
        <v>135</v>
      </c>
      <c r="J125" s="35" t="s">
        <v>91</v>
      </c>
      <c r="K125" s="35"/>
      <c r="L125" s="655" t="s">
        <v>45</v>
      </c>
      <c r="M125" s="96" t="s">
        <v>91</v>
      </c>
      <c r="N125" s="41" t="s">
        <v>289</v>
      </c>
      <c r="O125" s="35" t="s">
        <v>92</v>
      </c>
      <c r="P125" s="35" t="s">
        <v>1068</v>
      </c>
      <c r="Q125" s="35" t="s">
        <v>91</v>
      </c>
      <c r="R125" s="35" t="s">
        <v>91</v>
      </c>
      <c r="S125" s="92" t="s">
        <v>43</v>
      </c>
      <c r="T125" s="40" t="s">
        <v>91</v>
      </c>
      <c r="U125" s="40" t="s">
        <v>91</v>
      </c>
      <c r="V125" s="40" t="s">
        <v>91</v>
      </c>
      <c r="W125" s="99" t="s">
        <v>91</v>
      </c>
      <c r="X125" s="99"/>
      <c r="Y125" s="38" t="s">
        <v>43</v>
      </c>
      <c r="Z125" s="45" t="s">
        <v>43</v>
      </c>
      <c r="AA125">
        <f t="shared" si="21"/>
        <v>8</v>
      </c>
    </row>
    <row r="126" spans="2:29" x14ac:dyDescent="0.35">
      <c r="B126">
        <f t="shared" si="20"/>
        <v>9</v>
      </c>
      <c r="C126" s="23" t="str">
        <f>C17</f>
        <v>Nvidia GB200 chipset CPU+2*GPU, liquid cooled</v>
      </c>
      <c r="D126" s="35" t="s">
        <v>704</v>
      </c>
      <c r="E126" s="35" t="s">
        <v>705</v>
      </c>
      <c r="F126" s="35" t="s">
        <v>706</v>
      </c>
      <c r="G126" s="35" t="s">
        <v>707</v>
      </c>
      <c r="H126" s="41" t="s">
        <v>1218</v>
      </c>
      <c r="I126" s="106" t="s">
        <v>135</v>
      </c>
      <c r="J126" s="35" t="s">
        <v>708</v>
      </c>
      <c r="K126" s="35" t="s">
        <v>2893</v>
      </c>
      <c r="L126" s="655" t="s">
        <v>45</v>
      </c>
      <c r="M126" s="35" t="s">
        <v>704</v>
      </c>
      <c r="N126" s="41" t="s">
        <v>289</v>
      </c>
      <c r="O126" s="35" t="s">
        <v>700</v>
      </c>
      <c r="P126" s="14" t="s">
        <v>786</v>
      </c>
      <c r="Q126" s="35" t="s">
        <v>701</v>
      </c>
      <c r="R126" s="35" t="s">
        <v>702</v>
      </c>
      <c r="S126" s="92" t="s">
        <v>43</v>
      </c>
      <c r="T126" s="35" t="s">
        <v>759</v>
      </c>
      <c r="U126" s="35" t="s">
        <v>796</v>
      </c>
      <c r="V126" s="35" t="s">
        <v>759</v>
      </c>
      <c r="W126" s="35" t="s">
        <v>703</v>
      </c>
      <c r="X126" s="35" t="s">
        <v>704</v>
      </c>
      <c r="Y126" s="38" t="s">
        <v>43</v>
      </c>
      <c r="Z126" s="45" t="s">
        <v>43</v>
      </c>
      <c r="AA126">
        <f t="shared" si="21"/>
        <v>9</v>
      </c>
    </row>
    <row r="127" spans="2:29" x14ac:dyDescent="0.35">
      <c r="B127">
        <f t="shared" si="20"/>
        <v>10</v>
      </c>
      <c r="C127" s="23" t="str">
        <f>C18</f>
        <v>Nvidia Blackwell Ultra GB300</v>
      </c>
      <c r="D127" s="35" t="s">
        <v>2894</v>
      </c>
      <c r="E127" s="35" t="s">
        <v>45</v>
      </c>
      <c r="F127" s="35"/>
      <c r="G127" s="35"/>
      <c r="H127" s="41" t="s">
        <v>1218</v>
      </c>
      <c r="I127" s="106" t="s">
        <v>135</v>
      </c>
      <c r="J127" s="35" t="s">
        <v>2894</v>
      </c>
      <c r="K127" s="35" t="s">
        <v>2904</v>
      </c>
      <c r="L127" s="655" t="s">
        <v>45</v>
      </c>
      <c r="M127" s="35" t="s">
        <v>2894</v>
      </c>
      <c r="N127" s="41" t="s">
        <v>45</v>
      </c>
      <c r="O127" s="35"/>
      <c r="P127" s="14"/>
      <c r="Q127" s="35"/>
      <c r="R127" s="35"/>
      <c r="S127" s="92"/>
      <c r="T127" s="35"/>
      <c r="U127" s="35"/>
      <c r="V127" s="35"/>
      <c r="W127" s="35" t="s">
        <v>2892</v>
      </c>
      <c r="X127" s="131" t="s">
        <v>2883</v>
      </c>
      <c r="Y127" s="38" t="s">
        <v>45</v>
      </c>
      <c r="Z127" s="45"/>
      <c r="AA127">
        <f t="shared" si="21"/>
        <v>10</v>
      </c>
    </row>
    <row r="128" spans="2:29" x14ac:dyDescent="0.35">
      <c r="B128">
        <f t="shared" si="20"/>
        <v>11</v>
      </c>
      <c r="C128" s="23" t="str">
        <f>C19</f>
        <v>Nvidia Rubin</v>
      </c>
      <c r="D128" s="35" t="s">
        <v>2902</v>
      </c>
      <c r="E128" s="35" t="s">
        <v>45</v>
      </c>
      <c r="F128" s="35"/>
      <c r="G128" s="35"/>
      <c r="H128" s="41" t="s">
        <v>1218</v>
      </c>
      <c r="I128" s="106" t="s">
        <v>135</v>
      </c>
      <c r="J128" s="655" t="s">
        <v>2903</v>
      </c>
      <c r="K128" s="655" t="s">
        <v>2902</v>
      </c>
      <c r="L128" s="655" t="s">
        <v>45</v>
      </c>
      <c r="M128" s="35" t="s">
        <v>2902</v>
      </c>
      <c r="N128" s="41" t="s">
        <v>45</v>
      </c>
      <c r="O128" s="35"/>
      <c r="P128" s="14"/>
      <c r="Q128" s="35"/>
      <c r="R128" s="35"/>
      <c r="S128" s="92"/>
      <c r="T128" s="35"/>
      <c r="U128" s="35"/>
      <c r="V128" s="35"/>
      <c r="W128" s="35"/>
      <c r="X128" s="131" t="s">
        <v>2895</v>
      </c>
      <c r="Y128" s="38" t="s">
        <v>45</v>
      </c>
      <c r="Z128" s="45"/>
      <c r="AA128">
        <f t="shared" si="21"/>
        <v>11</v>
      </c>
    </row>
    <row r="129" spans="2:29" x14ac:dyDescent="0.35">
      <c r="B129">
        <f t="shared" si="20"/>
        <v>12</v>
      </c>
      <c r="C129" s="23" t="str">
        <f>C20</f>
        <v xml:space="preserve">Nvidia Rubin Ultra </v>
      </c>
      <c r="D129" s="35" t="s">
        <v>2905</v>
      </c>
      <c r="E129" s="35" t="s">
        <v>45</v>
      </c>
      <c r="F129" s="35"/>
      <c r="G129" s="35"/>
      <c r="H129" s="41" t="s">
        <v>1218</v>
      </c>
      <c r="I129" s="106" t="s">
        <v>135</v>
      </c>
      <c r="J129" s="35" t="s">
        <v>2905</v>
      </c>
      <c r="K129" s="655" t="s">
        <v>45</v>
      </c>
      <c r="L129" s="655" t="s">
        <v>45</v>
      </c>
      <c r="M129" s="35" t="s">
        <v>2905</v>
      </c>
      <c r="N129" s="41" t="s">
        <v>45</v>
      </c>
      <c r="O129" s="35"/>
      <c r="P129" s="14"/>
      <c r="Q129" s="35"/>
      <c r="R129" s="35"/>
      <c r="S129" s="92"/>
      <c r="T129" s="35"/>
      <c r="U129" s="35"/>
      <c r="V129" s="35"/>
      <c r="W129" s="35" t="s">
        <v>2905</v>
      </c>
      <c r="X129" s="35" t="s">
        <v>2906</v>
      </c>
      <c r="Y129" s="38" t="s">
        <v>45</v>
      </c>
      <c r="Z129" s="45"/>
      <c r="AA129">
        <f t="shared" si="21"/>
        <v>12</v>
      </c>
    </row>
    <row r="130" spans="2:29" x14ac:dyDescent="0.35">
      <c r="B130">
        <f t="shared" si="20"/>
        <v>13</v>
      </c>
      <c r="C130" s="23" t="str">
        <f>C21</f>
        <v>Nvidia Feynman</v>
      </c>
      <c r="D130" s="35"/>
      <c r="E130" s="35" t="s">
        <v>45</v>
      </c>
      <c r="F130" s="35"/>
      <c r="G130" s="35"/>
      <c r="H130" s="41"/>
      <c r="I130" s="106"/>
      <c r="J130" s="35"/>
      <c r="K130" s="35"/>
      <c r="L130" s="655"/>
      <c r="M130" s="35"/>
      <c r="N130" s="41"/>
      <c r="O130" s="35"/>
      <c r="P130" s="14"/>
      <c r="Q130" s="35"/>
      <c r="R130" s="35"/>
      <c r="S130" s="92"/>
      <c r="T130" s="35"/>
      <c r="U130" s="35"/>
      <c r="V130" s="35"/>
      <c r="W130" s="35"/>
      <c r="X130" s="35"/>
      <c r="Y130" s="38"/>
      <c r="Z130" s="45"/>
      <c r="AA130">
        <f t="shared" si="21"/>
        <v>13</v>
      </c>
    </row>
    <row r="131" spans="2:29" x14ac:dyDescent="0.35">
      <c r="B131">
        <f t="shared" si="20"/>
        <v>14</v>
      </c>
      <c r="C131" s="517" t="str">
        <f>C22</f>
        <v>Likely Nvidia chipset in 2029 extrapolated using Moore's law on GB200 from 2024</v>
      </c>
      <c r="D131" s="232" t="s">
        <v>1630</v>
      </c>
      <c r="E131" s="232" t="s">
        <v>1601</v>
      </c>
      <c r="F131" s="232" t="s">
        <v>1631</v>
      </c>
      <c r="G131" s="232" t="s">
        <v>289</v>
      </c>
      <c r="H131" s="232" t="s">
        <v>1602</v>
      </c>
      <c r="I131" s="232" t="s">
        <v>135</v>
      </c>
      <c r="J131" s="232" t="s">
        <v>289</v>
      </c>
      <c r="K131" s="232"/>
      <c r="L131" s="609" t="s">
        <v>45</v>
      </c>
      <c r="M131" s="410" t="s">
        <v>45</v>
      </c>
      <c r="N131" s="232" t="s">
        <v>289</v>
      </c>
      <c r="O131" s="410" t="s">
        <v>45</v>
      </c>
      <c r="P131" s="232" t="s">
        <v>289</v>
      </c>
      <c r="Q131" s="410" t="s">
        <v>45</v>
      </c>
      <c r="R131" s="410" t="s">
        <v>45</v>
      </c>
      <c r="S131" s="233" t="s">
        <v>45</v>
      </c>
      <c r="T131" s="232" t="s">
        <v>289</v>
      </c>
      <c r="U131" s="232" t="s">
        <v>289</v>
      </c>
      <c r="V131" s="410" t="s">
        <v>45</v>
      </c>
      <c r="W131" s="232" t="s">
        <v>289</v>
      </c>
      <c r="X131" s="232" t="s">
        <v>289</v>
      </c>
      <c r="Y131" s="525" t="s">
        <v>43</v>
      </c>
      <c r="Z131" s="526" t="s">
        <v>43</v>
      </c>
      <c r="AA131">
        <f t="shared" si="21"/>
        <v>14</v>
      </c>
    </row>
    <row r="132" spans="2:29" x14ac:dyDescent="0.35">
      <c r="B132">
        <f t="shared" si="20"/>
        <v>15</v>
      </c>
      <c r="C132" s="517" t="str">
        <f>C23</f>
        <v xml:space="preserve">Likely Nvidia chipset in 2035 </v>
      </c>
      <c r="D132" s="232" t="s">
        <v>1630</v>
      </c>
      <c r="E132" s="232" t="s">
        <v>1601</v>
      </c>
      <c r="F132" s="232" t="s">
        <v>1631</v>
      </c>
      <c r="G132" s="232" t="s">
        <v>289</v>
      </c>
      <c r="H132" s="232" t="s">
        <v>1602</v>
      </c>
      <c r="I132" s="232" t="s">
        <v>135</v>
      </c>
      <c r="J132" s="232" t="s">
        <v>289</v>
      </c>
      <c r="K132" s="232"/>
      <c r="L132" s="609" t="s">
        <v>45</v>
      </c>
      <c r="M132" s="410" t="s">
        <v>45</v>
      </c>
      <c r="N132" s="232" t="s">
        <v>289</v>
      </c>
      <c r="O132" s="410" t="s">
        <v>45</v>
      </c>
      <c r="P132" s="232" t="s">
        <v>289</v>
      </c>
      <c r="Q132" s="410" t="s">
        <v>45</v>
      </c>
      <c r="R132" s="410" t="s">
        <v>45</v>
      </c>
      <c r="S132" s="233" t="s">
        <v>45</v>
      </c>
      <c r="T132" s="232" t="s">
        <v>289</v>
      </c>
      <c r="U132" s="232" t="s">
        <v>289</v>
      </c>
      <c r="V132" s="410" t="s">
        <v>45</v>
      </c>
      <c r="W132" s="232" t="s">
        <v>289</v>
      </c>
      <c r="X132" s="232" t="s">
        <v>289</v>
      </c>
      <c r="Y132" s="525" t="s">
        <v>43</v>
      </c>
      <c r="Z132" s="526" t="s">
        <v>43</v>
      </c>
      <c r="AA132">
        <f t="shared" si="21"/>
        <v>15</v>
      </c>
    </row>
    <row r="133" spans="2:29" x14ac:dyDescent="0.35">
      <c r="B133">
        <f t="shared" si="20"/>
        <v>16</v>
      </c>
      <c r="C133" s="517" t="str">
        <f>C24</f>
        <v>Likely Nvidia chipset in 2045</v>
      </c>
      <c r="D133" s="232" t="s">
        <v>1630</v>
      </c>
      <c r="E133" s="232" t="s">
        <v>1601</v>
      </c>
      <c r="F133" s="232" t="s">
        <v>1631</v>
      </c>
      <c r="G133" s="232" t="s">
        <v>289</v>
      </c>
      <c r="H133" s="232" t="s">
        <v>1602</v>
      </c>
      <c r="I133" s="232" t="s">
        <v>135</v>
      </c>
      <c r="J133" s="232" t="s">
        <v>289</v>
      </c>
      <c r="K133" s="232"/>
      <c r="L133" s="609" t="s">
        <v>45</v>
      </c>
      <c r="M133" s="410" t="s">
        <v>45</v>
      </c>
      <c r="N133" s="232" t="s">
        <v>289</v>
      </c>
      <c r="O133" s="410" t="s">
        <v>45</v>
      </c>
      <c r="P133" s="232" t="s">
        <v>289</v>
      </c>
      <c r="Q133" s="410" t="s">
        <v>45</v>
      </c>
      <c r="R133" s="410" t="s">
        <v>45</v>
      </c>
      <c r="S133" s="233" t="s">
        <v>45</v>
      </c>
      <c r="T133" s="232" t="s">
        <v>289</v>
      </c>
      <c r="U133" s="232" t="s">
        <v>289</v>
      </c>
      <c r="V133" s="410" t="s">
        <v>45</v>
      </c>
      <c r="W133" s="232" t="s">
        <v>289</v>
      </c>
      <c r="X133" s="232" t="s">
        <v>289</v>
      </c>
      <c r="Y133" s="525" t="s">
        <v>43</v>
      </c>
      <c r="Z133" s="526" t="s">
        <v>43</v>
      </c>
      <c r="AA133">
        <f t="shared" si="21"/>
        <v>16</v>
      </c>
    </row>
    <row r="134" spans="2:29" ht="15" thickBot="1" x14ac:dyDescent="0.4">
      <c r="B134">
        <f t="shared" si="20"/>
        <v>17</v>
      </c>
      <c r="C134" s="267" t="str">
        <f>C25</f>
        <v>Artificial super humans -  Life 3.5                                      See sheet Life3.0 for clarification. An artificial species capable of building their own technological civilization without any help from humans. Biological humans will not be able to tell the difference when interacting with an artificial super human until they do something superhuman like running at 40 mph or talking about stuff that humans are incapable of understanding because our brains are too limited for ever being able to understand it.</v>
      </c>
      <c r="D134" s="215" t="s">
        <v>290</v>
      </c>
      <c r="E134" s="175" t="s">
        <v>986</v>
      </c>
      <c r="F134" s="216"/>
      <c r="G134" s="216" t="s">
        <v>225</v>
      </c>
      <c r="H134" s="216" t="s">
        <v>1226</v>
      </c>
      <c r="I134" s="742" t="s">
        <v>326</v>
      </c>
      <c r="J134" s="216" t="s">
        <v>135</v>
      </c>
      <c r="K134" s="216"/>
      <c r="L134" s="744" t="s">
        <v>45</v>
      </c>
      <c r="M134" s="216" t="s">
        <v>518</v>
      </c>
      <c r="N134" s="216" t="s">
        <v>289</v>
      </c>
      <c r="O134" s="216" t="s">
        <v>45</v>
      </c>
      <c r="P134" s="216" t="s">
        <v>1188</v>
      </c>
      <c r="Q134" s="216" t="s">
        <v>289</v>
      </c>
      <c r="R134" s="216" t="s">
        <v>374</v>
      </c>
      <c r="S134" s="217"/>
      <c r="T134" s="216" t="s">
        <v>2235</v>
      </c>
      <c r="U134" s="218"/>
      <c r="V134" s="218"/>
      <c r="W134" s="218"/>
      <c r="X134" s="218"/>
      <c r="Y134" s="218" t="s">
        <v>43</v>
      </c>
      <c r="Z134" s="219" t="s">
        <v>43</v>
      </c>
      <c r="AA134">
        <f t="shared" si="21"/>
        <v>17</v>
      </c>
    </row>
    <row r="135" spans="2:29" ht="15" thickTop="1" x14ac:dyDescent="0.35">
      <c r="B135">
        <f t="shared" si="20"/>
        <v>18</v>
      </c>
      <c r="C135" s="23" t="str">
        <f>C26</f>
        <v xml:space="preserve">Cerebras WSE-2 </v>
      </c>
      <c r="D135" s="35" t="s">
        <v>53</v>
      </c>
      <c r="E135" s="35" t="s">
        <v>53</v>
      </c>
      <c r="F135" s="35" t="s">
        <v>53</v>
      </c>
      <c r="G135" s="35" t="s">
        <v>53</v>
      </c>
      <c r="H135" s="35" t="s">
        <v>1237</v>
      </c>
      <c r="I135" s="106" t="s">
        <v>135</v>
      </c>
      <c r="J135" s="41" t="s">
        <v>459</v>
      </c>
      <c r="K135" s="41"/>
      <c r="L135" s="41" t="s">
        <v>45</v>
      </c>
      <c r="M135" s="96" t="s">
        <v>53</v>
      </c>
      <c r="N135" s="41" t="s">
        <v>289</v>
      </c>
      <c r="O135" s="35" t="s">
        <v>53</v>
      </c>
      <c r="P135" s="35" t="s">
        <v>121</v>
      </c>
      <c r="Q135" s="35" t="s">
        <v>53</v>
      </c>
      <c r="R135" s="35" t="s">
        <v>53</v>
      </c>
      <c r="S135" s="92" t="s">
        <v>43</v>
      </c>
      <c r="T135" s="35" t="s">
        <v>137</v>
      </c>
      <c r="U135" t="s">
        <v>900</v>
      </c>
      <c r="V135" s="35" t="s">
        <v>136</v>
      </c>
      <c r="W135" s="106" t="s">
        <v>1006</v>
      </c>
      <c r="X135" s="106" t="s">
        <v>1006</v>
      </c>
      <c r="Y135" s="38" t="s">
        <v>43</v>
      </c>
      <c r="Z135" s="45" t="s">
        <v>43</v>
      </c>
      <c r="AA135">
        <f t="shared" si="21"/>
        <v>18</v>
      </c>
      <c r="AC135" s="38"/>
    </row>
    <row r="136" spans="2:29" x14ac:dyDescent="0.35">
      <c r="B136">
        <f t="shared" si="20"/>
        <v>19</v>
      </c>
      <c r="C136" s="23" t="str">
        <f>C27</f>
        <v>Cerebras WSE-3</v>
      </c>
      <c r="D136" s="35" t="s">
        <v>673</v>
      </c>
      <c r="E136" s="35" t="s">
        <v>674</v>
      </c>
      <c r="F136" s="35" t="s">
        <v>675</v>
      </c>
      <c r="G136" s="35" t="s">
        <v>676</v>
      </c>
      <c r="H136" s="35" t="s">
        <v>1237</v>
      </c>
      <c r="I136" s="106" t="s">
        <v>135</v>
      </c>
      <c r="J136" s="41" t="s">
        <v>459</v>
      </c>
      <c r="K136" s="41"/>
      <c r="L136" s="41" t="s">
        <v>1418</v>
      </c>
      <c r="M136" s="96" t="s">
        <v>1418</v>
      </c>
      <c r="N136" s="41" t="s">
        <v>289</v>
      </c>
      <c r="O136" s="35" t="s">
        <v>673</v>
      </c>
      <c r="P136" s="35" t="s">
        <v>678</v>
      </c>
      <c r="Q136" s="35" t="s">
        <v>673</v>
      </c>
      <c r="R136" s="35" t="s">
        <v>674</v>
      </c>
      <c r="S136" s="92" t="s">
        <v>43</v>
      </c>
      <c r="T136" s="35" t="s">
        <v>679</v>
      </c>
      <c r="U136" t="s">
        <v>901</v>
      </c>
      <c r="V136" s="35" t="s">
        <v>677</v>
      </c>
      <c r="W136" s="106" t="s">
        <v>1006</v>
      </c>
      <c r="X136" s="106" t="s">
        <v>1006</v>
      </c>
      <c r="Y136" s="38" t="s">
        <v>45</v>
      </c>
      <c r="Z136" s="45" t="s">
        <v>43</v>
      </c>
      <c r="AA136">
        <f t="shared" si="21"/>
        <v>19</v>
      </c>
      <c r="AC136" s="38"/>
    </row>
    <row r="137" spans="2:29" x14ac:dyDescent="0.35">
      <c r="B137">
        <f t="shared" si="20"/>
        <v>20</v>
      </c>
      <c r="C137" s="23" t="str">
        <f>C28</f>
        <v>GroqChip v1 by Groq</v>
      </c>
      <c r="D137" s="15" t="s">
        <v>2185</v>
      </c>
      <c r="E137" s="15" t="s">
        <v>2185</v>
      </c>
      <c r="F137" s="15" t="s">
        <v>2185</v>
      </c>
      <c r="G137" s="15" t="s">
        <v>2185</v>
      </c>
      <c r="H137" s="145" t="s">
        <v>45</v>
      </c>
      <c r="I137" s="106" t="s">
        <v>135</v>
      </c>
      <c r="J137" s="145" t="s">
        <v>2185</v>
      </c>
      <c r="K137" s="145"/>
      <c r="L137" s="39" t="s">
        <v>2185</v>
      </c>
      <c r="M137" s="106" t="s">
        <v>2185</v>
      </c>
      <c r="N137" s="41" t="s">
        <v>289</v>
      </c>
      <c r="O137" s="145"/>
      <c r="P137" s="145"/>
      <c r="Q137" s="145" t="s">
        <v>2188</v>
      </c>
      <c r="R137" s="145" t="s">
        <v>45</v>
      </c>
      <c r="S137" s="224"/>
      <c r="T137" s="145" t="s">
        <v>2185</v>
      </c>
      <c r="U137" s="226" t="s">
        <v>45</v>
      </c>
      <c r="V137" s="226" t="s">
        <v>2185</v>
      </c>
      <c r="W137" s="732" t="s">
        <v>2185</v>
      </c>
      <c r="X137" s="732" t="s">
        <v>45</v>
      </c>
      <c r="Y137" s="226"/>
      <c r="Z137" s="45" t="s">
        <v>43</v>
      </c>
      <c r="AA137">
        <f t="shared" si="21"/>
        <v>20</v>
      </c>
    </row>
    <row r="138" spans="2:29" x14ac:dyDescent="0.35">
      <c r="B138">
        <f t="shared" si="20"/>
        <v>21</v>
      </c>
      <c r="C138" s="23" t="str">
        <f>C29</f>
        <v>GroqChip v2 by Groq</v>
      </c>
      <c r="D138" s="15" t="s">
        <v>2186</v>
      </c>
      <c r="E138" s="15" t="s">
        <v>2186</v>
      </c>
      <c r="F138" s="15" t="s">
        <v>2186</v>
      </c>
      <c r="G138" s="15" t="s">
        <v>2186</v>
      </c>
      <c r="H138" s="15" t="s">
        <v>2186</v>
      </c>
      <c r="I138" s="106" t="s">
        <v>135</v>
      </c>
      <c r="J138" s="145"/>
      <c r="K138" s="145"/>
      <c r="L138" s="145" t="s">
        <v>45</v>
      </c>
      <c r="M138" s="106"/>
      <c r="N138" s="41" t="s">
        <v>289</v>
      </c>
      <c r="O138" s="145"/>
      <c r="P138" s="145"/>
      <c r="Q138" s="145"/>
      <c r="R138" s="145"/>
      <c r="S138" s="224"/>
      <c r="T138" s="145"/>
      <c r="U138" s="226"/>
      <c r="V138" s="226"/>
      <c r="W138" s="732"/>
      <c r="X138" s="732"/>
      <c r="Y138" s="226"/>
      <c r="Z138" s="483"/>
      <c r="AA138">
        <f t="shared" si="21"/>
        <v>21</v>
      </c>
    </row>
    <row r="139" spans="2:29" x14ac:dyDescent="0.35">
      <c r="B139">
        <f t="shared" si="20"/>
        <v>22</v>
      </c>
      <c r="C139" s="23" t="str">
        <f>C30</f>
        <v>AMD's MI300</v>
      </c>
      <c r="D139" s="35" t="s">
        <v>157</v>
      </c>
      <c r="E139" s="35" t="s">
        <v>157</v>
      </c>
      <c r="F139" s="35" t="s">
        <v>157</v>
      </c>
      <c r="G139" s="35" t="s">
        <v>157</v>
      </c>
      <c r="H139" s="41" t="s">
        <v>1219</v>
      </c>
      <c r="I139" s="106" t="s">
        <v>135</v>
      </c>
      <c r="J139" s="35" t="s">
        <v>157</v>
      </c>
      <c r="K139" s="35"/>
      <c r="L139" s="145" t="s">
        <v>45</v>
      </c>
      <c r="M139" s="96" t="s">
        <v>501</v>
      </c>
      <c r="N139" s="41" t="s">
        <v>289</v>
      </c>
      <c r="O139" s="35" t="s">
        <v>157</v>
      </c>
      <c r="P139" s="41" t="s">
        <v>45</v>
      </c>
      <c r="Q139" s="35" t="s">
        <v>159</v>
      </c>
      <c r="R139" s="35" t="s">
        <v>157</v>
      </c>
      <c r="S139" s="92" t="s">
        <v>43</v>
      </c>
      <c r="T139" s="40" t="s">
        <v>159</v>
      </c>
      <c r="U139" s="40" t="s">
        <v>160</v>
      </c>
      <c r="V139" s="40" t="s">
        <v>161</v>
      </c>
      <c r="W139" s="100" t="s">
        <v>588</v>
      </c>
      <c r="X139" s="100"/>
      <c r="Y139" s="38" t="s">
        <v>43</v>
      </c>
      <c r="Z139" s="45" t="s">
        <v>43</v>
      </c>
      <c r="AA139">
        <f t="shared" si="21"/>
        <v>22</v>
      </c>
    </row>
    <row r="140" spans="2:29" x14ac:dyDescent="0.35">
      <c r="B140">
        <f t="shared" si="20"/>
        <v>23</v>
      </c>
      <c r="C140" s="23" t="str">
        <f>C31</f>
        <v>Intel Gaudi2 (Habana)</v>
      </c>
      <c r="D140" s="35" t="s">
        <v>601</v>
      </c>
      <c r="E140" s="35" t="s">
        <v>602</v>
      </c>
      <c r="F140" s="35" t="s">
        <v>601</v>
      </c>
      <c r="G140" s="35" t="s">
        <v>598</v>
      </c>
      <c r="H140" s="35" t="s">
        <v>1234</v>
      </c>
      <c r="I140" s="106" t="s">
        <v>135</v>
      </c>
      <c r="J140" s="35" t="s">
        <v>600</v>
      </c>
      <c r="K140" s="35"/>
      <c r="L140" s="145" t="s">
        <v>45</v>
      </c>
      <c r="M140" s="96" t="s">
        <v>598</v>
      </c>
      <c r="N140" s="41" t="s">
        <v>289</v>
      </c>
      <c r="O140" s="7" t="s">
        <v>45</v>
      </c>
      <c r="P140" s="7" t="s">
        <v>45</v>
      </c>
      <c r="Q140" s="7" t="s">
        <v>45</v>
      </c>
      <c r="R140" s="7" t="s">
        <v>45</v>
      </c>
      <c r="S140" s="7" t="s">
        <v>45</v>
      </c>
      <c r="T140" s="40" t="s">
        <v>598</v>
      </c>
      <c r="U140" s="40"/>
      <c r="V140" s="40"/>
      <c r="W140" s="99" t="s">
        <v>601</v>
      </c>
      <c r="X140" s="99"/>
      <c r="Y140" s="38"/>
      <c r="Z140" s="45"/>
      <c r="AA140">
        <f t="shared" si="21"/>
        <v>23</v>
      </c>
    </row>
    <row r="141" spans="2:29" x14ac:dyDescent="0.35">
      <c r="B141">
        <f t="shared" si="20"/>
        <v>24</v>
      </c>
      <c r="C141" s="23" t="str">
        <f>C32</f>
        <v xml:space="preserve">Intel Gaudi 3 </v>
      </c>
      <c r="D141" s="35" t="s">
        <v>749</v>
      </c>
      <c r="E141" s="35" t="s">
        <v>749</v>
      </c>
      <c r="F141" s="35" t="s">
        <v>749</v>
      </c>
      <c r="G141" s="14" t="s">
        <v>751</v>
      </c>
      <c r="H141" s="14" t="s">
        <v>1234</v>
      </c>
      <c r="I141" s="35" t="s">
        <v>749</v>
      </c>
      <c r="J141" s="35" t="s">
        <v>749</v>
      </c>
      <c r="K141" s="35"/>
      <c r="L141" s="145" t="s">
        <v>45</v>
      </c>
      <c r="M141" s="35" t="s">
        <v>749</v>
      </c>
      <c r="N141" s="41" t="s">
        <v>289</v>
      </c>
      <c r="O141" s="7" t="s">
        <v>45</v>
      </c>
      <c r="P141" s="7" t="s">
        <v>45</v>
      </c>
      <c r="Q141" s="7" t="s">
        <v>45</v>
      </c>
      <c r="R141" s="7" t="s">
        <v>45</v>
      </c>
      <c r="S141" s="7" t="s">
        <v>45</v>
      </c>
      <c r="T141" s="35" t="s">
        <v>752</v>
      </c>
      <c r="U141" s="35" t="s">
        <v>45</v>
      </c>
      <c r="V141" s="35" t="s">
        <v>749</v>
      </c>
      <c r="W141" s="35" t="s">
        <v>749</v>
      </c>
      <c r="X141" s="99"/>
      <c r="Y141" s="38"/>
      <c r="Z141" s="45"/>
      <c r="AA141">
        <f t="shared" si="21"/>
        <v>24</v>
      </c>
    </row>
    <row r="142" spans="2:29" x14ac:dyDescent="0.35">
      <c r="B142">
        <f t="shared" si="20"/>
        <v>25</v>
      </c>
      <c r="C142" s="23" t="str">
        <f>C33</f>
        <v>Google TPU v4</v>
      </c>
      <c r="D142" s="35" t="s">
        <v>581</v>
      </c>
      <c r="E142" s="35" t="s">
        <v>582</v>
      </c>
      <c r="F142" s="35"/>
      <c r="G142" s="35"/>
      <c r="H142" s="35" t="s">
        <v>1235</v>
      </c>
      <c r="I142" s="106" t="s">
        <v>135</v>
      </c>
      <c r="J142" s="35"/>
      <c r="K142" s="35"/>
      <c r="L142" s="145" t="s">
        <v>45</v>
      </c>
      <c r="M142" s="96" t="s">
        <v>586</v>
      </c>
      <c r="N142" s="41" t="s">
        <v>289</v>
      </c>
      <c r="O142" s="35" t="s">
        <v>585</v>
      </c>
      <c r="P142" s="41" t="s">
        <v>622</v>
      </c>
      <c r="Q142" s="35" t="s">
        <v>585</v>
      </c>
      <c r="R142" s="35" t="s">
        <v>585</v>
      </c>
      <c r="S142" s="92"/>
      <c r="T142" s="35" t="s">
        <v>586</v>
      </c>
      <c r="U142" s="40"/>
      <c r="V142" s="40"/>
      <c r="W142" s="99"/>
      <c r="X142" s="99"/>
      <c r="Y142" s="38"/>
      <c r="Z142" s="45"/>
      <c r="AA142">
        <f t="shared" si="21"/>
        <v>25</v>
      </c>
    </row>
    <row r="143" spans="2:29" x14ac:dyDescent="0.35">
      <c r="B143">
        <f t="shared" si="20"/>
        <v>26</v>
      </c>
      <c r="C143" s="23" t="str">
        <f>C34</f>
        <v>Google TPU v4i</v>
      </c>
      <c r="D143" s="35" t="s">
        <v>581</v>
      </c>
      <c r="E143" s="35" t="s">
        <v>582</v>
      </c>
      <c r="F143" s="35"/>
      <c r="G143" s="35"/>
      <c r="H143" s="35" t="s">
        <v>1235</v>
      </c>
      <c r="I143" s="106" t="s">
        <v>135</v>
      </c>
      <c r="J143" s="35"/>
      <c r="K143" s="35"/>
      <c r="L143" s="145" t="s">
        <v>45</v>
      </c>
      <c r="M143" s="96" t="s">
        <v>587</v>
      </c>
      <c r="N143" s="41" t="s">
        <v>289</v>
      </c>
      <c r="O143" s="35" t="s">
        <v>585</v>
      </c>
      <c r="P143" s="35" t="s">
        <v>585</v>
      </c>
      <c r="Q143" s="35" t="s">
        <v>585</v>
      </c>
      <c r="R143" s="35" t="s">
        <v>585</v>
      </c>
      <c r="S143" s="92"/>
      <c r="T143" s="35" t="s">
        <v>587</v>
      </c>
      <c r="U143" s="40"/>
      <c r="V143" s="40"/>
      <c r="W143" s="99"/>
      <c r="X143" s="99"/>
      <c r="Y143" s="38"/>
      <c r="Z143" s="45"/>
      <c r="AA143">
        <f t="shared" si="21"/>
        <v>26</v>
      </c>
    </row>
    <row r="144" spans="2:29" x14ac:dyDescent="0.35">
      <c r="B144">
        <f t="shared" si="20"/>
        <v>27</v>
      </c>
      <c r="C144" s="23" t="str">
        <f>C35</f>
        <v>Google TPU v5e</v>
      </c>
      <c r="D144" s="35" t="s">
        <v>575</v>
      </c>
      <c r="E144" s="35" t="s">
        <v>575</v>
      </c>
      <c r="F144" s="35"/>
      <c r="G144" s="35"/>
      <c r="H144" s="35" t="s">
        <v>1235</v>
      </c>
      <c r="I144" s="106" t="s">
        <v>135</v>
      </c>
      <c r="J144" s="35" t="s">
        <v>576</v>
      </c>
      <c r="K144" s="35"/>
      <c r="L144" s="145" t="s">
        <v>45</v>
      </c>
      <c r="M144" s="96" t="s">
        <v>576</v>
      </c>
      <c r="N144" s="41" t="s">
        <v>289</v>
      </c>
      <c r="O144" s="7" t="s">
        <v>45</v>
      </c>
      <c r="P144" s="7" t="s">
        <v>45</v>
      </c>
      <c r="Q144" s="7" t="s">
        <v>45</v>
      </c>
      <c r="R144" s="7" t="s">
        <v>45</v>
      </c>
      <c r="S144" s="7" t="s">
        <v>45</v>
      </c>
      <c r="T144" s="7" t="s">
        <v>45</v>
      </c>
      <c r="U144" s="7" t="s">
        <v>45</v>
      </c>
      <c r="V144" s="40"/>
      <c r="W144" s="99" t="s">
        <v>575</v>
      </c>
      <c r="X144" s="99"/>
      <c r="Y144" s="38"/>
      <c r="Z144" s="45" t="s">
        <v>43</v>
      </c>
      <c r="AA144">
        <f t="shared" si="21"/>
        <v>27</v>
      </c>
    </row>
    <row r="145" spans="2:29" x14ac:dyDescent="0.35">
      <c r="B145">
        <f t="shared" si="20"/>
        <v>28</v>
      </c>
      <c r="C145" s="23" t="str">
        <f>C36</f>
        <v>Google TPU v6</v>
      </c>
      <c r="D145" s="35" t="s">
        <v>1147</v>
      </c>
      <c r="E145" s="35" t="s">
        <v>1148</v>
      </c>
      <c r="F145" s="35" t="s">
        <v>1148</v>
      </c>
      <c r="G145" s="35" t="s">
        <v>1148</v>
      </c>
      <c r="H145" s="35" t="s">
        <v>1235</v>
      </c>
      <c r="I145" s="35" t="s">
        <v>45</v>
      </c>
      <c r="J145" s="35" t="s">
        <v>1148</v>
      </c>
      <c r="K145" s="35"/>
      <c r="L145" s="145" t="s">
        <v>45</v>
      </c>
      <c r="M145" s="35" t="s">
        <v>1148</v>
      </c>
      <c r="N145" s="35" t="s">
        <v>1148</v>
      </c>
      <c r="O145" s="35" t="s">
        <v>1148</v>
      </c>
      <c r="P145" s="35" t="s">
        <v>1148</v>
      </c>
      <c r="Q145" s="35" t="s">
        <v>1148</v>
      </c>
      <c r="R145" s="35" t="s">
        <v>1148</v>
      </c>
      <c r="S145" s="35" t="s">
        <v>1148</v>
      </c>
      <c r="T145" s="35" t="s">
        <v>1148</v>
      </c>
      <c r="U145" s="35" t="s">
        <v>1148</v>
      </c>
      <c r="V145" s="35" t="s">
        <v>1148</v>
      </c>
      <c r="W145" s="35" t="s">
        <v>1148</v>
      </c>
      <c r="X145" s="35" t="s">
        <v>1148</v>
      </c>
      <c r="Y145" s="38"/>
      <c r="Z145" s="45"/>
      <c r="AA145">
        <f t="shared" si="21"/>
        <v>28</v>
      </c>
    </row>
    <row r="146" spans="2:29" x14ac:dyDescent="0.35">
      <c r="B146">
        <f t="shared" si="20"/>
        <v>29</v>
      </c>
      <c r="C146" s="23" t="str">
        <f>C37</f>
        <v>Google TPU v7 Ironwood</v>
      </c>
      <c r="D146" s="35" t="s">
        <v>3204</v>
      </c>
      <c r="E146" s="35" t="s">
        <v>45</v>
      </c>
      <c r="F146" s="35"/>
      <c r="G146" s="35"/>
      <c r="H146" s="35"/>
      <c r="I146" s="35"/>
      <c r="J146" s="35" t="s">
        <v>3204</v>
      </c>
      <c r="K146" s="35" t="s">
        <v>45</v>
      </c>
      <c r="L146" s="145"/>
      <c r="M146" s="35" t="s">
        <v>3204</v>
      </c>
      <c r="N146" s="35" t="s">
        <v>45</v>
      </c>
      <c r="O146" s="35"/>
      <c r="P146" s="35"/>
      <c r="Q146" s="35"/>
      <c r="R146" s="35"/>
      <c r="S146" s="35"/>
      <c r="T146" s="35" t="s">
        <v>3204</v>
      </c>
      <c r="U146" s="35" t="s">
        <v>45</v>
      </c>
      <c r="V146" s="35"/>
      <c r="W146" s="41" t="s">
        <v>3208</v>
      </c>
      <c r="X146" s="35"/>
      <c r="Y146" s="38"/>
      <c r="Z146" s="45" t="s">
        <v>43</v>
      </c>
      <c r="AA146">
        <f t="shared" si="21"/>
        <v>29</v>
      </c>
    </row>
    <row r="147" spans="2:29" x14ac:dyDescent="0.35">
      <c r="B147">
        <f t="shared" si="20"/>
        <v>30</v>
      </c>
      <c r="C147" s="23" t="str">
        <f t="shared" ref="C147:C168" si="22">C38</f>
        <v xml:space="preserve">Amazon Trainium </v>
      </c>
      <c r="D147" s="35" t="s">
        <v>579</v>
      </c>
      <c r="E147" s="35" t="s">
        <v>579</v>
      </c>
      <c r="F147" s="35"/>
      <c r="G147" s="35"/>
      <c r="H147" s="37" t="s">
        <v>1994</v>
      </c>
      <c r="I147" s="106" t="s">
        <v>135</v>
      </c>
      <c r="J147" s="35" t="s">
        <v>578</v>
      </c>
      <c r="K147" s="35"/>
      <c r="L147" s="145" t="s">
        <v>45</v>
      </c>
      <c r="M147" s="96" t="s">
        <v>605</v>
      </c>
      <c r="N147" s="41" t="s">
        <v>289</v>
      </c>
      <c r="O147" s="7" t="s">
        <v>45</v>
      </c>
      <c r="P147" s="7" t="s">
        <v>45</v>
      </c>
      <c r="Q147" s="7" t="s">
        <v>45</v>
      </c>
      <c r="R147" s="7" t="s">
        <v>45</v>
      </c>
      <c r="S147" s="7" t="s">
        <v>45</v>
      </c>
      <c r="T147" s="7" t="s">
        <v>45</v>
      </c>
      <c r="U147" s="194" t="s">
        <v>605</v>
      </c>
      <c r="V147" s="194" t="s">
        <v>605</v>
      </c>
      <c r="W147" s="194" t="s">
        <v>605</v>
      </c>
      <c r="X147" s="194"/>
      <c r="Y147" s="38"/>
      <c r="Z147" s="45" t="s">
        <v>43</v>
      </c>
      <c r="AA147">
        <f t="shared" si="21"/>
        <v>30</v>
      </c>
    </row>
    <row r="148" spans="2:29" x14ac:dyDescent="0.35">
      <c r="B148">
        <f t="shared" si="20"/>
        <v>31</v>
      </c>
      <c r="C148" s="23" t="str">
        <f t="shared" si="22"/>
        <v>Amazon Trainium 2</v>
      </c>
      <c r="D148" s="35" t="s">
        <v>1246</v>
      </c>
      <c r="E148" s="35" t="s">
        <v>1246</v>
      </c>
      <c r="F148" s="35"/>
      <c r="G148" s="35"/>
      <c r="H148" s="37" t="s">
        <v>1994</v>
      </c>
      <c r="I148" s="106" t="s">
        <v>135</v>
      </c>
      <c r="J148" s="35" t="s">
        <v>1246</v>
      </c>
      <c r="K148" s="35"/>
      <c r="L148" s="145" t="s">
        <v>45</v>
      </c>
      <c r="M148" s="96"/>
      <c r="N148" s="41"/>
      <c r="O148" s="7"/>
      <c r="P148" s="7"/>
      <c r="Q148" s="7"/>
      <c r="R148" s="7"/>
      <c r="S148" s="7"/>
      <c r="T148" s="7"/>
      <c r="U148" s="194"/>
      <c r="V148" s="194"/>
      <c r="W148" s="42" t="s">
        <v>1246</v>
      </c>
      <c r="X148" s="194" t="s">
        <v>45</v>
      </c>
      <c r="Y148" s="38"/>
      <c r="Z148" s="45"/>
      <c r="AA148">
        <f t="shared" si="21"/>
        <v>31</v>
      </c>
    </row>
    <row r="149" spans="2:29" x14ac:dyDescent="0.35">
      <c r="B149">
        <f t="shared" si="20"/>
        <v>32</v>
      </c>
      <c r="C149" s="23" t="str">
        <f t="shared" si="22"/>
        <v>Meta MTIA v1</v>
      </c>
      <c r="D149" s="35" t="s">
        <v>596</v>
      </c>
      <c r="E149" s="35" t="s">
        <v>589</v>
      </c>
      <c r="F149" s="35" t="s">
        <v>590</v>
      </c>
      <c r="G149" s="35" t="s">
        <v>1997</v>
      </c>
      <c r="H149" s="37" t="s">
        <v>1997</v>
      </c>
      <c r="I149" s="106" t="s">
        <v>135</v>
      </c>
      <c r="J149" s="35" t="s">
        <v>595</v>
      </c>
      <c r="K149" s="35"/>
      <c r="L149" s="145" t="s">
        <v>45</v>
      </c>
      <c r="M149" s="96" t="s">
        <v>595</v>
      </c>
      <c r="N149" s="41" t="s">
        <v>289</v>
      </c>
      <c r="O149" s="7" t="s">
        <v>45</v>
      </c>
      <c r="P149" s="7" t="s">
        <v>45</v>
      </c>
      <c r="Q149" s="35" t="s">
        <v>593</v>
      </c>
      <c r="R149" s="35" t="s">
        <v>594</v>
      </c>
      <c r="S149" s="7" t="s">
        <v>45</v>
      </c>
      <c r="T149" s="193" t="s">
        <v>590</v>
      </c>
      <c r="U149" s="40" t="s">
        <v>45</v>
      </c>
      <c r="V149" s="40" t="s">
        <v>592</v>
      </c>
      <c r="W149" s="99" t="s">
        <v>592</v>
      </c>
      <c r="X149" s="99"/>
      <c r="Y149" s="38" t="s">
        <v>43</v>
      </c>
      <c r="Z149" s="45" t="s">
        <v>43</v>
      </c>
      <c r="AA149">
        <f t="shared" si="21"/>
        <v>32</v>
      </c>
    </row>
    <row r="150" spans="2:29" x14ac:dyDescent="0.35">
      <c r="B150">
        <f t="shared" si="20"/>
        <v>33</v>
      </c>
      <c r="C150" s="23" t="str">
        <f t="shared" si="22"/>
        <v>Meta MTIA v2</v>
      </c>
      <c r="D150" s="35" t="s">
        <v>1997</v>
      </c>
      <c r="E150" s="35"/>
      <c r="F150" s="35" t="s">
        <v>1997</v>
      </c>
      <c r="G150" s="35" t="s">
        <v>1997</v>
      </c>
      <c r="H150" s="37" t="s">
        <v>1997</v>
      </c>
      <c r="I150" s="106" t="s">
        <v>135</v>
      </c>
      <c r="J150" s="35" t="s">
        <v>1997</v>
      </c>
      <c r="K150" s="35"/>
      <c r="L150" s="145" t="s">
        <v>45</v>
      </c>
      <c r="M150" s="96" t="s">
        <v>1997</v>
      </c>
      <c r="N150" s="41" t="s">
        <v>45</v>
      </c>
      <c r="O150" s="7" t="s">
        <v>45</v>
      </c>
      <c r="P150" s="7" t="s">
        <v>45</v>
      </c>
      <c r="Q150" s="35" t="s">
        <v>1997</v>
      </c>
      <c r="R150" s="35" t="s">
        <v>45</v>
      </c>
      <c r="S150" s="7"/>
      <c r="T150" s="193" t="s">
        <v>1997</v>
      </c>
      <c r="U150" s="40" t="s">
        <v>45</v>
      </c>
      <c r="V150" s="40" t="s">
        <v>1997</v>
      </c>
      <c r="W150" s="99" t="s">
        <v>1997</v>
      </c>
      <c r="X150" s="99" t="s">
        <v>45</v>
      </c>
      <c r="Y150" s="38" t="s">
        <v>45</v>
      </c>
      <c r="Z150" s="45" t="s">
        <v>43</v>
      </c>
      <c r="AA150">
        <f t="shared" si="21"/>
        <v>33</v>
      </c>
    </row>
    <row r="151" spans="2:29" x14ac:dyDescent="0.35">
      <c r="B151">
        <f t="shared" si="20"/>
        <v>34</v>
      </c>
      <c r="C151" s="23" t="str">
        <f t="shared" si="22"/>
        <v>Microsoft Project Athena</v>
      </c>
      <c r="D151" s="35" t="s">
        <v>597</v>
      </c>
      <c r="E151" s="35" t="s">
        <v>597</v>
      </c>
      <c r="F151" s="35" t="s">
        <v>45</v>
      </c>
      <c r="G151" s="35" t="s">
        <v>597</v>
      </c>
      <c r="H151" s="7" t="s">
        <v>45</v>
      </c>
      <c r="I151" s="106"/>
      <c r="J151" s="35"/>
      <c r="K151" s="35"/>
      <c r="L151" s="145" t="s">
        <v>45</v>
      </c>
      <c r="M151" s="96"/>
      <c r="N151" s="41"/>
      <c r="O151" s="7"/>
      <c r="P151" s="7"/>
      <c r="Q151" s="35"/>
      <c r="R151" s="35"/>
      <c r="S151" s="7"/>
      <c r="T151" s="193"/>
      <c r="U151" s="40"/>
      <c r="V151" s="40"/>
      <c r="W151" s="99"/>
      <c r="X151" s="99"/>
      <c r="Y151" s="38"/>
      <c r="Z151" s="45"/>
      <c r="AA151">
        <f t="shared" si="21"/>
        <v>34</v>
      </c>
    </row>
    <row r="152" spans="2:29" x14ac:dyDescent="0.35">
      <c r="B152">
        <f t="shared" si="20"/>
        <v>35</v>
      </c>
      <c r="C152" s="23" t="str">
        <f t="shared" si="22"/>
        <v xml:space="preserve">Tesla D1 (Dojo) </v>
      </c>
      <c r="D152" s="35" t="s">
        <v>51</v>
      </c>
      <c r="E152" s="35" t="s">
        <v>51</v>
      </c>
      <c r="F152" s="35" t="s">
        <v>51</v>
      </c>
      <c r="G152" s="35" t="s">
        <v>51</v>
      </c>
      <c r="H152" s="35" t="s">
        <v>1236</v>
      </c>
      <c r="I152" s="106" t="s">
        <v>135</v>
      </c>
      <c r="J152" s="41" t="s">
        <v>459</v>
      </c>
      <c r="K152" s="41"/>
      <c r="L152" s="145" t="s">
        <v>45</v>
      </c>
      <c r="M152" s="96" t="s">
        <v>569</v>
      </c>
      <c r="N152" s="41" t="s">
        <v>289</v>
      </c>
      <c r="O152" s="35" t="s">
        <v>51</v>
      </c>
      <c r="P152" s="41" t="s">
        <v>45</v>
      </c>
      <c r="Q152" s="35" t="s">
        <v>51</v>
      </c>
      <c r="R152" s="35" t="s">
        <v>51</v>
      </c>
      <c r="S152" s="92" t="s">
        <v>43</v>
      </c>
      <c r="T152" s="35" t="s">
        <v>51</v>
      </c>
      <c r="U152" s="96" t="s">
        <v>569</v>
      </c>
      <c r="V152" s="190" t="s">
        <v>45</v>
      </c>
      <c r="W152" s="96" t="s">
        <v>569</v>
      </c>
      <c r="X152" s="96"/>
      <c r="Y152" s="38" t="s">
        <v>43</v>
      </c>
      <c r="Z152" s="45" t="s">
        <v>43</v>
      </c>
      <c r="AA152">
        <f t="shared" si="21"/>
        <v>35</v>
      </c>
    </row>
    <row r="153" spans="2:29" ht="15" thickBot="1" x14ac:dyDescent="0.4">
      <c r="B153">
        <f t="shared" si="20"/>
        <v>36</v>
      </c>
      <c r="C153" s="23" t="str">
        <f t="shared" si="22"/>
        <v>Huawei Ascend 910C</v>
      </c>
      <c r="D153" s="35" t="s">
        <v>1988</v>
      </c>
      <c r="E153" s="35" t="s">
        <v>45</v>
      </c>
      <c r="F153" s="35"/>
      <c r="G153" s="35"/>
      <c r="H153" s="35"/>
      <c r="I153" s="106"/>
      <c r="J153" s="41"/>
      <c r="K153" s="41"/>
      <c r="L153" s="145" t="s">
        <v>45</v>
      </c>
      <c r="M153" s="96"/>
      <c r="N153" s="41"/>
      <c r="O153" s="35"/>
      <c r="P153" s="41"/>
      <c r="Q153" s="35"/>
      <c r="R153" s="35"/>
      <c r="S153" s="92"/>
      <c r="T153" s="35" t="s">
        <v>1990</v>
      </c>
      <c r="U153" s="96" t="s">
        <v>45</v>
      </c>
      <c r="V153" s="655" t="s">
        <v>1991</v>
      </c>
      <c r="W153" s="96" t="s">
        <v>45</v>
      </c>
      <c r="X153" s="96"/>
      <c r="Y153" s="38"/>
      <c r="Z153" s="45"/>
      <c r="AA153">
        <f t="shared" si="21"/>
        <v>36</v>
      </c>
    </row>
    <row r="154" spans="2:29" ht="21.5" thickTop="1" x14ac:dyDescent="0.5">
      <c r="B154">
        <f t="shared" si="20"/>
        <v>37</v>
      </c>
      <c r="C154" s="702" t="str">
        <f t="shared" si="22"/>
        <v>Chips for AI inference in mobile devices such as military drones, automobiles and humanoid robots</v>
      </c>
      <c r="D154" s="461"/>
      <c r="E154" s="461"/>
      <c r="F154" s="461"/>
      <c r="G154" s="461"/>
      <c r="H154" s="461"/>
      <c r="I154" s="462"/>
      <c r="J154" s="463"/>
      <c r="K154" s="463"/>
      <c r="L154" s="463"/>
      <c r="M154" s="463"/>
      <c r="N154" s="462"/>
      <c r="O154" s="462"/>
      <c r="P154" s="462"/>
      <c r="Q154" s="462"/>
      <c r="R154" s="462"/>
      <c r="S154" s="465"/>
      <c r="T154" s="462"/>
      <c r="U154" s="466"/>
      <c r="V154" s="463"/>
      <c r="W154" s="463"/>
      <c r="X154" s="463"/>
      <c r="Y154" s="467"/>
      <c r="Z154" s="468"/>
      <c r="AA154">
        <f t="shared" si="21"/>
        <v>37</v>
      </c>
      <c r="AC154" s="38"/>
    </row>
    <row r="155" spans="2:29" x14ac:dyDescent="0.35">
      <c r="B155">
        <f t="shared" si="20"/>
        <v>38</v>
      </c>
      <c r="C155" s="23" t="str">
        <f t="shared" si="22"/>
        <v xml:space="preserve">Tesla HW3 or AI3 </v>
      </c>
      <c r="D155" s="35" t="s">
        <v>62</v>
      </c>
      <c r="E155" s="35" t="s">
        <v>63</v>
      </c>
      <c r="F155" s="35" t="s">
        <v>63</v>
      </c>
      <c r="G155" s="35" t="s">
        <v>65</v>
      </c>
      <c r="H155" s="35" t="s">
        <v>1227</v>
      </c>
      <c r="I155" s="106" t="s">
        <v>135</v>
      </c>
      <c r="J155" s="35" t="s">
        <v>187</v>
      </c>
      <c r="K155" s="35"/>
      <c r="L155" s="655" t="s">
        <v>45</v>
      </c>
      <c r="M155" s="96" t="s">
        <v>187</v>
      </c>
      <c r="N155" s="41" t="s">
        <v>289</v>
      </c>
      <c r="O155" s="35" t="s">
        <v>70</v>
      </c>
      <c r="P155" s="41" t="s">
        <v>465</v>
      </c>
      <c r="Q155" s="35" t="s">
        <v>63</v>
      </c>
      <c r="R155" s="35" t="s">
        <v>63</v>
      </c>
      <c r="S155" s="92" t="s">
        <v>43</v>
      </c>
      <c r="T155" s="35" t="s">
        <v>70</v>
      </c>
      <c r="U155" s="35" t="s">
        <v>63</v>
      </c>
      <c r="V155" s="35" t="s">
        <v>63</v>
      </c>
      <c r="W155" s="96" t="s">
        <v>266</v>
      </c>
      <c r="X155" s="96"/>
      <c r="Y155" s="38" t="s">
        <v>43</v>
      </c>
      <c r="Z155" s="45" t="s">
        <v>43</v>
      </c>
      <c r="AA155">
        <f t="shared" si="21"/>
        <v>38</v>
      </c>
      <c r="AB155" t="s">
        <v>378</v>
      </c>
      <c r="AC155" t="s">
        <v>45</v>
      </c>
    </row>
    <row r="156" spans="2:29" x14ac:dyDescent="0.35">
      <c r="B156">
        <f t="shared" si="20"/>
        <v>39</v>
      </c>
      <c r="C156" s="23" t="str">
        <f t="shared" si="22"/>
        <v xml:space="preserve">Tesla HW4 or AI4 </v>
      </c>
      <c r="D156" s="35" t="s">
        <v>71</v>
      </c>
      <c r="E156" s="41" t="s">
        <v>45</v>
      </c>
      <c r="F156" s="41" t="s">
        <v>45</v>
      </c>
      <c r="G156" s="35" t="s">
        <v>72</v>
      </c>
      <c r="H156" s="35" t="s">
        <v>1231</v>
      </c>
      <c r="I156" s="106" t="s">
        <v>135</v>
      </c>
      <c r="J156" s="35" t="s">
        <v>71</v>
      </c>
      <c r="K156" s="35"/>
      <c r="L156" s="655" t="s">
        <v>45</v>
      </c>
      <c r="M156" s="106" t="s">
        <v>848</v>
      </c>
      <c r="N156" s="41" t="s">
        <v>289</v>
      </c>
      <c r="O156" s="41" t="s">
        <v>289</v>
      </c>
      <c r="P156" s="41" t="s">
        <v>465</v>
      </c>
      <c r="Q156" s="35"/>
      <c r="R156" s="35"/>
      <c r="S156" s="92" t="s">
        <v>43</v>
      </c>
      <c r="T156" s="35" t="s">
        <v>846</v>
      </c>
      <c r="U156" s="35"/>
      <c r="V156" s="109" t="s">
        <v>45</v>
      </c>
      <c r="W156" s="96" t="s">
        <v>773</v>
      </c>
      <c r="X156" s="96"/>
      <c r="Y156" s="38" t="s">
        <v>45</v>
      </c>
      <c r="Z156" s="45" t="s">
        <v>45</v>
      </c>
      <c r="AA156">
        <f t="shared" si="21"/>
        <v>39</v>
      </c>
    </row>
    <row r="157" spans="2:29" x14ac:dyDescent="0.35">
      <c r="B157">
        <f t="shared" si="20"/>
        <v>40</v>
      </c>
      <c r="C157" s="23" t="str">
        <f t="shared" si="22"/>
        <v xml:space="preserve">Tesla HW5 or AI5 </v>
      </c>
      <c r="D157" s="145" t="s">
        <v>772</v>
      </c>
      <c r="E157" s="145"/>
      <c r="F157" s="145"/>
      <c r="G157" s="145" t="s">
        <v>45</v>
      </c>
      <c r="H157" s="145" t="s">
        <v>1227</v>
      </c>
      <c r="I157" s="106" t="s">
        <v>135</v>
      </c>
      <c r="J157" s="145" t="s">
        <v>312</v>
      </c>
      <c r="K157" s="145"/>
      <c r="L157" s="655" t="s">
        <v>45</v>
      </c>
      <c r="M157" s="106" t="s">
        <v>1632</v>
      </c>
      <c r="N157" s="145" t="s">
        <v>289</v>
      </c>
      <c r="O157" s="145" t="s">
        <v>1449</v>
      </c>
      <c r="P157" s="145" t="s">
        <v>465</v>
      </c>
      <c r="Q157" s="39"/>
      <c r="R157" s="39"/>
      <c r="S157" s="92" t="s">
        <v>43</v>
      </c>
      <c r="T157" s="39" t="s">
        <v>776</v>
      </c>
      <c r="U157" s="39"/>
      <c r="V157" s="224" t="s">
        <v>45</v>
      </c>
      <c r="W157" s="96" t="s">
        <v>774</v>
      </c>
      <c r="X157" s="96" t="s">
        <v>803</v>
      </c>
      <c r="Y157" s="38" t="s">
        <v>45</v>
      </c>
      <c r="Z157" s="45" t="s">
        <v>45</v>
      </c>
      <c r="AA157">
        <f t="shared" si="21"/>
        <v>40</v>
      </c>
    </row>
    <row r="158" spans="2:29" x14ac:dyDescent="0.35">
      <c r="B158">
        <f t="shared" si="20"/>
        <v>41</v>
      </c>
      <c r="C158" s="23" t="str">
        <f t="shared" si="22"/>
        <v>Nvidia Jetson TX2 mini pc with limitted AI capability similar to Raspberry Pi5</v>
      </c>
      <c r="D158" s="39" t="s">
        <v>1729</v>
      </c>
      <c r="E158" s="145" t="s">
        <v>1729</v>
      </c>
      <c r="F158" s="145" t="s">
        <v>1729</v>
      </c>
      <c r="G158" s="145" t="s">
        <v>1730</v>
      </c>
      <c r="H158" s="41" t="s">
        <v>1218</v>
      </c>
      <c r="I158" s="106" t="s">
        <v>135</v>
      </c>
      <c r="J158" s="145" t="s">
        <v>1731</v>
      </c>
      <c r="K158" s="145"/>
      <c r="L158" s="655" t="s">
        <v>45</v>
      </c>
      <c r="M158" s="106" t="s">
        <v>1731</v>
      </c>
      <c r="N158" s="145" t="s">
        <v>289</v>
      </c>
      <c r="O158" s="145"/>
      <c r="P158" s="39" t="s">
        <v>1729</v>
      </c>
      <c r="Q158" s="39"/>
      <c r="R158" s="39"/>
      <c r="S158" s="92"/>
      <c r="T158" s="39" t="s">
        <v>1731</v>
      </c>
      <c r="U158" s="39" t="s">
        <v>45</v>
      </c>
      <c r="V158" s="145" t="s">
        <v>1731</v>
      </c>
      <c r="W158" s="96" t="s">
        <v>45</v>
      </c>
      <c r="X158" s="96" t="s">
        <v>45</v>
      </c>
      <c r="Y158" s="38" t="s">
        <v>45</v>
      </c>
      <c r="Z158" s="45" t="s">
        <v>43</v>
      </c>
      <c r="AA158">
        <f t="shared" si="21"/>
        <v>41</v>
      </c>
    </row>
    <row r="159" spans="2:29" x14ac:dyDescent="0.35">
      <c r="B159">
        <f t="shared" si="20"/>
        <v>42</v>
      </c>
      <c r="C159" s="23" t="str">
        <f t="shared" si="22"/>
        <v xml:space="preserve">Nvidia drive Jetson Orin 8GB NX nano </v>
      </c>
      <c r="D159" s="39" t="s">
        <v>1217</v>
      </c>
      <c r="E159" s="145"/>
      <c r="F159" s="145"/>
      <c r="G159" s="145" t="s">
        <v>1217</v>
      </c>
      <c r="H159" s="41" t="s">
        <v>1218</v>
      </c>
      <c r="I159" s="106" t="s">
        <v>135</v>
      </c>
      <c r="J159" s="145" t="s">
        <v>1243</v>
      </c>
      <c r="K159" s="145"/>
      <c r="L159" s="655" t="s">
        <v>45</v>
      </c>
      <c r="M159" s="106" t="s">
        <v>1243</v>
      </c>
      <c r="N159" s="145" t="s">
        <v>289</v>
      </c>
      <c r="O159" s="39" t="s">
        <v>1217</v>
      </c>
      <c r="P159" s="39" t="s">
        <v>1061</v>
      </c>
      <c r="Q159" s="39" t="s">
        <v>45</v>
      </c>
      <c r="R159" s="39"/>
      <c r="S159" s="92"/>
      <c r="T159" s="39" t="s">
        <v>1243</v>
      </c>
      <c r="U159" s="39" t="s">
        <v>45</v>
      </c>
      <c r="V159" s="224"/>
      <c r="W159" s="96" t="s">
        <v>1243</v>
      </c>
      <c r="X159" s="96"/>
      <c r="Y159" s="38"/>
      <c r="Z159" s="45" t="s">
        <v>43</v>
      </c>
      <c r="AA159">
        <f t="shared" si="21"/>
        <v>42</v>
      </c>
    </row>
    <row r="160" spans="2:29" x14ac:dyDescent="0.35">
      <c r="B160">
        <f t="shared" si="20"/>
        <v>43</v>
      </c>
      <c r="C160" s="23" t="str">
        <f t="shared" si="22"/>
        <v>Nvidia Jetson Orin 8GB Nano Super</v>
      </c>
      <c r="D160" s="39" t="s">
        <v>1363</v>
      </c>
      <c r="E160" s="39" t="s">
        <v>1364</v>
      </c>
      <c r="F160" s="39" t="s">
        <v>1365</v>
      </c>
      <c r="G160" s="145" t="s">
        <v>1370</v>
      </c>
      <c r="H160" s="41" t="s">
        <v>1218</v>
      </c>
      <c r="I160" s="106" t="s">
        <v>135</v>
      </c>
      <c r="J160" s="145" t="s">
        <v>1366</v>
      </c>
      <c r="K160" s="145"/>
      <c r="L160" s="655" t="s">
        <v>45</v>
      </c>
      <c r="M160" s="106" t="s">
        <v>1366</v>
      </c>
      <c r="N160" s="145" t="s">
        <v>289</v>
      </c>
      <c r="O160" s="145"/>
      <c r="P160" s="145" t="s">
        <v>1363</v>
      </c>
      <c r="Q160" s="39" t="s">
        <v>45</v>
      </c>
      <c r="R160" s="39"/>
      <c r="S160" s="92"/>
      <c r="T160" s="39" t="s">
        <v>1363</v>
      </c>
      <c r="U160" s="39" t="s">
        <v>45</v>
      </c>
      <c r="V160" s="224"/>
      <c r="W160" s="96" t="s">
        <v>1366</v>
      </c>
      <c r="X160" s="96" t="s">
        <v>45</v>
      </c>
      <c r="Y160" s="38" t="s">
        <v>43</v>
      </c>
      <c r="Z160" s="45" t="s">
        <v>43</v>
      </c>
      <c r="AA160">
        <f t="shared" si="21"/>
        <v>43</v>
      </c>
    </row>
    <row r="161" spans="2:27" x14ac:dyDescent="0.35">
      <c r="B161">
        <f t="shared" si="20"/>
        <v>44</v>
      </c>
      <c r="C161" s="23" t="str">
        <f t="shared" si="22"/>
        <v>Nvidia Jetson Orin 16GB Nano Super</v>
      </c>
      <c r="D161" s="39" t="s">
        <v>1369</v>
      </c>
      <c r="E161" s="39" t="s">
        <v>1374</v>
      </c>
      <c r="F161" s="39"/>
      <c r="G161" s="145" t="s">
        <v>1633</v>
      </c>
      <c r="H161" s="41" t="s">
        <v>1218</v>
      </c>
      <c r="I161" s="106" t="s">
        <v>135</v>
      </c>
      <c r="J161" s="145" t="s">
        <v>1369</v>
      </c>
      <c r="K161" s="145"/>
      <c r="L161" s="655" t="s">
        <v>45</v>
      </c>
      <c r="M161" s="106" t="s">
        <v>1369</v>
      </c>
      <c r="N161" s="145" t="s">
        <v>289</v>
      </c>
      <c r="O161" s="145" t="s">
        <v>45</v>
      </c>
      <c r="P161" s="39" t="s">
        <v>1061</v>
      </c>
      <c r="Q161" s="39" t="s">
        <v>45</v>
      </c>
      <c r="R161" s="39"/>
      <c r="S161" s="92"/>
      <c r="T161" s="39" t="s">
        <v>1061</v>
      </c>
      <c r="U161" s="39" t="s">
        <v>45</v>
      </c>
      <c r="V161" s="224"/>
      <c r="W161" s="96" t="s">
        <v>1061</v>
      </c>
      <c r="X161" s="96" t="s">
        <v>45</v>
      </c>
      <c r="Y161" s="38" t="s">
        <v>43</v>
      </c>
      <c r="Z161" s="45" t="s">
        <v>43</v>
      </c>
      <c r="AA161">
        <f t="shared" si="21"/>
        <v>44</v>
      </c>
    </row>
    <row r="162" spans="2:27" x14ac:dyDescent="0.35">
      <c r="B162">
        <f t="shared" si="20"/>
        <v>45</v>
      </c>
      <c r="C162" s="23" t="str">
        <f t="shared" si="22"/>
        <v>Nvidia drive Jetson Orin AGX 32GB</v>
      </c>
      <c r="D162" s="39" t="s">
        <v>1061</v>
      </c>
      <c r="E162" s="39" t="s">
        <v>1061</v>
      </c>
      <c r="F162" s="39" t="s">
        <v>45</v>
      </c>
      <c r="G162" s="145"/>
      <c r="H162" s="41" t="s">
        <v>1218</v>
      </c>
      <c r="I162" s="106" t="s">
        <v>135</v>
      </c>
      <c r="J162" s="145" t="s">
        <v>1061</v>
      </c>
      <c r="K162" s="145"/>
      <c r="L162" s="655" t="s">
        <v>45</v>
      </c>
      <c r="M162" s="106" t="s">
        <v>1376</v>
      </c>
      <c r="N162" s="145" t="s">
        <v>289</v>
      </c>
      <c r="O162" s="145"/>
      <c r="P162" s="39"/>
      <c r="Q162" s="39"/>
      <c r="R162" s="39"/>
      <c r="S162" s="92"/>
      <c r="T162" s="39"/>
      <c r="U162" s="39"/>
      <c r="V162" s="224"/>
      <c r="W162" s="96" t="s">
        <v>1061</v>
      </c>
      <c r="X162" s="96" t="s">
        <v>45</v>
      </c>
      <c r="Y162" s="38" t="s">
        <v>43</v>
      </c>
      <c r="Z162" s="45" t="s">
        <v>43</v>
      </c>
      <c r="AA162">
        <f t="shared" si="21"/>
        <v>45</v>
      </c>
    </row>
    <row r="163" spans="2:27" x14ac:dyDescent="0.35">
      <c r="B163">
        <f t="shared" si="20"/>
        <v>46</v>
      </c>
      <c r="C163" s="23" t="str">
        <f t="shared" si="22"/>
        <v>Nvidia drive Jetson Orin AGX 64GB</v>
      </c>
      <c r="D163" s="35" t="s">
        <v>69</v>
      </c>
      <c r="E163" s="35" t="s">
        <v>87</v>
      </c>
      <c r="F163" s="35" t="s">
        <v>87</v>
      </c>
      <c r="G163" s="35" t="s">
        <v>87</v>
      </c>
      <c r="H163" s="41" t="s">
        <v>1218</v>
      </c>
      <c r="I163" s="106" t="s">
        <v>135</v>
      </c>
      <c r="J163" s="35" t="s">
        <v>87</v>
      </c>
      <c r="K163" s="35"/>
      <c r="L163" s="655" t="s">
        <v>45</v>
      </c>
      <c r="M163" s="96" t="s">
        <v>87</v>
      </c>
      <c r="N163" s="41" t="s">
        <v>289</v>
      </c>
      <c r="O163" s="35" t="s">
        <v>87</v>
      </c>
      <c r="P163" s="35" t="s">
        <v>1061</v>
      </c>
      <c r="Q163" s="35" t="s">
        <v>87</v>
      </c>
      <c r="R163" s="35" t="s">
        <v>87</v>
      </c>
      <c r="S163" s="92" t="s">
        <v>43</v>
      </c>
      <c r="T163" s="35" t="s">
        <v>87</v>
      </c>
      <c r="U163" s="35" t="s">
        <v>87</v>
      </c>
      <c r="V163" s="109" t="s">
        <v>45</v>
      </c>
      <c r="W163" s="96" t="s">
        <v>87</v>
      </c>
      <c r="X163" s="96" t="s">
        <v>45</v>
      </c>
      <c r="Y163" s="38" t="s">
        <v>43</v>
      </c>
      <c r="Z163" s="45" t="s">
        <v>43</v>
      </c>
      <c r="AA163">
        <f t="shared" si="21"/>
        <v>46</v>
      </c>
    </row>
    <row r="164" spans="2:27" x14ac:dyDescent="0.35">
      <c r="B164">
        <f t="shared" si="20"/>
        <v>47</v>
      </c>
      <c r="C164" s="23" t="str">
        <f t="shared" si="22"/>
        <v>Nvidia drive Thor Blackwell</v>
      </c>
      <c r="D164" s="39" t="s">
        <v>89</v>
      </c>
      <c r="E164" s="131" t="s">
        <v>1460</v>
      </c>
      <c r="F164" s="145" t="s">
        <v>45</v>
      </c>
      <c r="G164" s="145" t="s">
        <v>45</v>
      </c>
      <c r="H164" s="41" t="s">
        <v>1218</v>
      </c>
      <c r="I164" s="106" t="s">
        <v>45</v>
      </c>
      <c r="J164" s="39" t="s">
        <v>1465</v>
      </c>
      <c r="K164" s="39"/>
      <c r="L164" s="655" t="s">
        <v>45</v>
      </c>
      <c r="M164" s="106" t="s">
        <v>1632</v>
      </c>
      <c r="N164" s="41" t="s">
        <v>289</v>
      </c>
      <c r="O164" s="145" t="s">
        <v>1448</v>
      </c>
      <c r="P164" s="145" t="s">
        <v>1466</v>
      </c>
      <c r="Q164" s="145" t="s">
        <v>45</v>
      </c>
      <c r="R164" s="145" t="s">
        <v>45</v>
      </c>
      <c r="S164" s="92" t="s">
        <v>45</v>
      </c>
      <c r="T164" s="145" t="s">
        <v>830</v>
      </c>
      <c r="U164" s="213" t="s">
        <v>45</v>
      </c>
      <c r="V164" s="39" t="s">
        <v>1436</v>
      </c>
      <c r="W164" s="96" t="s">
        <v>88</v>
      </c>
      <c r="X164" s="106" t="s">
        <v>1007</v>
      </c>
      <c r="Y164" s="38" t="s">
        <v>43</v>
      </c>
      <c r="Z164" s="45" t="s">
        <v>43</v>
      </c>
      <c r="AA164">
        <f t="shared" si="21"/>
        <v>47</v>
      </c>
    </row>
    <row r="165" spans="2:27" x14ac:dyDescent="0.35">
      <c r="B165">
        <f t="shared" si="20"/>
        <v>48</v>
      </c>
      <c r="C165" s="23" t="str">
        <f t="shared" si="22"/>
        <v>Intel Mobileye EyeQ5</v>
      </c>
      <c r="D165" s="39" t="s">
        <v>1213</v>
      </c>
      <c r="E165" s="39" t="s">
        <v>1213</v>
      </c>
      <c r="F165" s="145" t="s">
        <v>45</v>
      </c>
      <c r="G165" s="145" t="s">
        <v>1213</v>
      </c>
      <c r="H165" s="39" t="s">
        <v>1232</v>
      </c>
      <c r="I165" s="106" t="s">
        <v>45</v>
      </c>
      <c r="J165" s="145" t="s">
        <v>45</v>
      </c>
      <c r="K165" s="145"/>
      <c r="L165" s="655" t="s">
        <v>45</v>
      </c>
      <c r="M165" s="106" t="s">
        <v>45</v>
      </c>
      <c r="N165" s="145" t="s">
        <v>45</v>
      </c>
      <c r="O165" s="145" t="s">
        <v>45</v>
      </c>
      <c r="P165" s="145" t="s">
        <v>1213</v>
      </c>
      <c r="Q165" s="145" t="s">
        <v>45</v>
      </c>
      <c r="R165" s="145"/>
      <c r="S165" s="92"/>
      <c r="T165" s="145"/>
      <c r="U165" s="431" t="s">
        <v>1213</v>
      </c>
      <c r="V165" s="224" t="s">
        <v>45</v>
      </c>
      <c r="W165" s="96" t="s">
        <v>1213</v>
      </c>
      <c r="X165" s="106" t="s">
        <v>45</v>
      </c>
      <c r="Y165" s="38" t="s">
        <v>43</v>
      </c>
      <c r="Z165" s="45" t="s">
        <v>43</v>
      </c>
      <c r="AA165">
        <f t="shared" si="21"/>
        <v>48</v>
      </c>
    </row>
    <row r="166" spans="2:27" x14ac:dyDescent="0.35">
      <c r="B166">
        <f t="shared" si="20"/>
        <v>49</v>
      </c>
      <c r="C166" s="23" t="str">
        <f t="shared" si="22"/>
        <v>Qualcomm Snapdragon Ride, SA8650P</v>
      </c>
      <c r="D166" s="39" t="s">
        <v>1217</v>
      </c>
      <c r="E166" s="39" t="s">
        <v>1217</v>
      </c>
      <c r="F166" s="145"/>
      <c r="G166" s="145" t="s">
        <v>1217</v>
      </c>
      <c r="H166" s="145" t="s">
        <v>1233</v>
      </c>
      <c r="I166" s="106" t="s">
        <v>45</v>
      </c>
      <c r="J166" s="145"/>
      <c r="K166" s="145"/>
      <c r="L166" s="655" t="s">
        <v>45</v>
      </c>
      <c r="M166" s="106"/>
      <c r="N166" s="145"/>
      <c r="O166" s="145"/>
      <c r="P166" s="145"/>
      <c r="Q166" s="145"/>
      <c r="R166" s="145"/>
      <c r="S166" s="92"/>
      <c r="T166" s="145"/>
      <c r="U166" s="213"/>
      <c r="V166" s="224"/>
      <c r="W166" s="96" t="s">
        <v>1217</v>
      </c>
      <c r="X166" s="106" t="s">
        <v>45</v>
      </c>
      <c r="Y166" s="38" t="s">
        <v>43</v>
      </c>
      <c r="Z166" s="45" t="s">
        <v>43</v>
      </c>
      <c r="AA166">
        <f t="shared" si="21"/>
        <v>49</v>
      </c>
    </row>
    <row r="167" spans="2:27" x14ac:dyDescent="0.35">
      <c r="B167">
        <f t="shared" si="20"/>
        <v>50</v>
      </c>
      <c r="C167" s="23" t="str">
        <f t="shared" si="22"/>
        <v>Horizon Robotics J6E/J6M by Horizon Robotics</v>
      </c>
      <c r="D167" s="39" t="s">
        <v>1217</v>
      </c>
      <c r="E167" s="39" t="s">
        <v>1217</v>
      </c>
      <c r="F167" s="145" t="s">
        <v>45</v>
      </c>
      <c r="G167" s="145" t="s">
        <v>1217</v>
      </c>
      <c r="H167" s="145" t="s">
        <v>1225</v>
      </c>
      <c r="I167" s="106" t="s">
        <v>45</v>
      </c>
      <c r="J167" s="145"/>
      <c r="K167" s="145"/>
      <c r="L167" s="655" t="s">
        <v>45</v>
      </c>
      <c r="M167" s="106"/>
      <c r="N167" s="145"/>
      <c r="O167" s="145"/>
      <c r="P167" s="145"/>
      <c r="Q167" s="145"/>
      <c r="R167" s="145"/>
      <c r="S167" s="92"/>
      <c r="T167" s="145"/>
      <c r="U167" s="213"/>
      <c r="V167" s="224"/>
      <c r="W167" s="96" t="s">
        <v>1217</v>
      </c>
      <c r="X167" s="106" t="s">
        <v>45</v>
      </c>
      <c r="Y167" s="38" t="s">
        <v>43</v>
      </c>
      <c r="Z167" s="45" t="s">
        <v>43</v>
      </c>
      <c r="AA167">
        <f t="shared" si="21"/>
        <v>50</v>
      </c>
    </row>
    <row r="168" spans="2:27" x14ac:dyDescent="0.35">
      <c r="B168">
        <f t="shared" si="20"/>
        <v>51</v>
      </c>
      <c r="C168" s="23" t="str">
        <f t="shared" si="22"/>
        <v>Kunlun II AI inference chip by China Baidu</v>
      </c>
      <c r="D168" s="39" t="s">
        <v>2724</v>
      </c>
      <c r="E168" s="39" t="s">
        <v>2724</v>
      </c>
      <c r="F168" s="145" t="s">
        <v>45</v>
      </c>
      <c r="G168" s="145"/>
      <c r="H168" s="145"/>
      <c r="I168" s="106"/>
      <c r="J168" s="145"/>
      <c r="K168" s="145"/>
      <c r="L168" s="655"/>
      <c r="M168" s="106"/>
      <c r="N168" s="145"/>
      <c r="O168" s="145"/>
      <c r="P168" s="145"/>
      <c r="Q168" s="145"/>
      <c r="R168" s="145"/>
      <c r="S168" s="92"/>
      <c r="T168" s="145" t="s">
        <v>2724</v>
      </c>
      <c r="U168" s="145" t="s">
        <v>2724</v>
      </c>
      <c r="V168" s="145" t="s">
        <v>2724</v>
      </c>
      <c r="W168" s="96" t="s">
        <v>2724</v>
      </c>
      <c r="X168" s="106" t="s">
        <v>45</v>
      </c>
      <c r="Y168" s="38" t="s">
        <v>43</v>
      </c>
      <c r="Z168" s="45" t="s">
        <v>43</v>
      </c>
      <c r="AA168">
        <f t="shared" si="21"/>
        <v>51</v>
      </c>
    </row>
    <row r="169" spans="2:27" ht="15" thickBot="1" x14ac:dyDescent="0.4">
      <c r="B169">
        <f t="shared" si="20"/>
        <v>52</v>
      </c>
      <c r="C169" s="23" t="str">
        <f t="shared" ref="C169:C186" si="23">C60</f>
        <v>Black Sesame A1000Pro</v>
      </c>
      <c r="D169" s="39" t="s">
        <v>1217</v>
      </c>
      <c r="E169" s="39" t="s">
        <v>1217</v>
      </c>
      <c r="F169" s="145" t="s">
        <v>45</v>
      </c>
      <c r="G169" s="145" t="s">
        <v>1217</v>
      </c>
      <c r="H169" s="145" t="s">
        <v>1224</v>
      </c>
      <c r="I169" s="106" t="s">
        <v>45</v>
      </c>
      <c r="J169" s="145"/>
      <c r="K169" s="145"/>
      <c r="L169" s="655" t="s">
        <v>45</v>
      </c>
      <c r="M169" s="106"/>
      <c r="N169" s="145"/>
      <c r="O169" s="145"/>
      <c r="P169" s="145"/>
      <c r="Q169" s="145"/>
      <c r="R169" s="145"/>
      <c r="S169" s="92"/>
      <c r="T169" s="145"/>
      <c r="U169" s="213"/>
      <c r="V169" s="224"/>
      <c r="W169" s="96" t="s">
        <v>1217</v>
      </c>
      <c r="X169" s="106" t="s">
        <v>2689</v>
      </c>
      <c r="Y169" s="38" t="s">
        <v>45</v>
      </c>
      <c r="Z169" s="45"/>
      <c r="AA169">
        <f t="shared" si="21"/>
        <v>52</v>
      </c>
    </row>
    <row r="170" spans="2:27" ht="21.5" thickTop="1" x14ac:dyDescent="0.5">
      <c r="B170">
        <f t="shared" si="20"/>
        <v>53</v>
      </c>
      <c r="C170" s="702" t="str">
        <f t="shared" si="23"/>
        <v xml:space="preserve">Chips for tiny AI supercomputers at home controlled by PC/Mac using terminal services </v>
      </c>
      <c r="D170" s="456"/>
      <c r="E170" s="456"/>
      <c r="F170" s="456"/>
      <c r="G170" s="456"/>
      <c r="H170" s="456"/>
      <c r="I170" s="456"/>
      <c r="J170" s="456"/>
      <c r="K170" s="456"/>
      <c r="L170" s="456"/>
      <c r="M170" s="456"/>
      <c r="N170" s="456"/>
      <c r="O170" s="456"/>
      <c r="P170" s="456"/>
      <c r="Q170" s="456"/>
      <c r="R170" s="456"/>
      <c r="S170" s="456"/>
      <c r="T170" s="456"/>
      <c r="U170" s="456"/>
      <c r="V170" s="456"/>
      <c r="W170" s="456"/>
      <c r="X170" s="456"/>
      <c r="Y170" s="456"/>
      <c r="Z170" s="469"/>
      <c r="AA170">
        <f t="shared" si="21"/>
        <v>53</v>
      </c>
    </row>
    <row r="171" spans="2:27" ht="15" thickBot="1" x14ac:dyDescent="0.4">
      <c r="B171">
        <f t="shared" si="20"/>
        <v>54</v>
      </c>
      <c r="C171" s="23" t="str">
        <f t="shared" si="23"/>
        <v>Nvidia GB10 "Project DIGITS" Grace Blackwell</v>
      </c>
      <c r="D171" s="35" t="s">
        <v>1453</v>
      </c>
      <c r="E171" s="35" t="s">
        <v>1464</v>
      </c>
      <c r="F171" s="41" t="s">
        <v>45</v>
      </c>
      <c r="G171" s="41" t="s">
        <v>1454</v>
      </c>
      <c r="H171" s="41" t="s">
        <v>1218</v>
      </c>
      <c r="I171" s="96" t="s">
        <v>1453</v>
      </c>
      <c r="J171" s="41" t="s">
        <v>1453</v>
      </c>
      <c r="K171" s="41"/>
      <c r="L171" s="41"/>
      <c r="M171" s="106" t="s">
        <v>1457</v>
      </c>
      <c r="N171" s="41" t="s">
        <v>289</v>
      </c>
      <c r="O171" s="41"/>
      <c r="P171" s="41"/>
      <c r="Q171" s="41"/>
      <c r="R171" s="439"/>
      <c r="S171" s="220"/>
      <c r="T171" s="41"/>
      <c r="U171" s="41"/>
      <c r="V171" s="41"/>
      <c r="W171" s="106" t="s">
        <v>1458</v>
      </c>
      <c r="X171" s="106" t="s">
        <v>1453</v>
      </c>
      <c r="Y171" s="226"/>
      <c r="Z171" s="483" t="s">
        <v>43</v>
      </c>
      <c r="AA171">
        <f t="shared" si="21"/>
        <v>54</v>
      </c>
    </row>
    <row r="172" spans="2:27" ht="21.5" thickTop="1" x14ac:dyDescent="0.5">
      <c r="B172">
        <f t="shared" si="20"/>
        <v>55</v>
      </c>
      <c r="C172" s="702" t="str">
        <f t="shared" si="23"/>
        <v>Chips for other consumer products</v>
      </c>
      <c r="D172" s="456"/>
      <c r="E172" s="456"/>
      <c r="F172" s="456"/>
      <c r="G172" s="456"/>
      <c r="H172" s="456"/>
      <c r="I172" s="456"/>
      <c r="J172" s="456"/>
      <c r="K172" s="456"/>
      <c r="L172" s="456"/>
      <c r="M172" s="456"/>
      <c r="N172" s="456"/>
      <c r="O172" s="456"/>
      <c r="P172" s="456"/>
      <c r="Q172" s="456"/>
      <c r="R172" s="456"/>
      <c r="S172" s="456"/>
      <c r="T172" s="456"/>
      <c r="U172" s="456"/>
      <c r="V172" s="456"/>
      <c r="W172" s="456"/>
      <c r="X172" s="456"/>
      <c r="Y172" s="456"/>
      <c r="Z172" s="469"/>
      <c r="AA172">
        <f t="shared" si="21"/>
        <v>55</v>
      </c>
    </row>
    <row r="173" spans="2:27" x14ac:dyDescent="0.35">
      <c r="B173">
        <f t="shared" si="20"/>
        <v>56</v>
      </c>
      <c r="C173" s="23" t="str">
        <f t="shared" si="23"/>
        <v xml:space="preserve">Apple A15 bionic </v>
      </c>
      <c r="D173" s="35" t="s">
        <v>39</v>
      </c>
      <c r="E173" s="35" t="s">
        <v>39</v>
      </c>
      <c r="F173" s="35" t="s">
        <v>39</v>
      </c>
      <c r="G173" s="35" t="s">
        <v>40</v>
      </c>
      <c r="H173" s="35"/>
      <c r="I173" s="106" t="s">
        <v>1005</v>
      </c>
      <c r="J173" s="35" t="s">
        <v>40</v>
      </c>
      <c r="K173" s="35"/>
      <c r="L173" s="655" t="s">
        <v>45</v>
      </c>
      <c r="M173" s="96" t="s">
        <v>40</v>
      </c>
      <c r="N173" s="41" t="s">
        <v>289</v>
      </c>
      <c r="O173" s="35" t="s">
        <v>39</v>
      </c>
      <c r="P173" s="41" t="s">
        <v>191</v>
      </c>
      <c r="Q173" s="35" t="s">
        <v>39</v>
      </c>
      <c r="R173" s="36" t="s">
        <v>45</v>
      </c>
      <c r="S173" s="7" t="s">
        <v>43</v>
      </c>
      <c r="T173" s="35" t="s">
        <v>40</v>
      </c>
      <c r="U173" s="35" t="s">
        <v>40</v>
      </c>
      <c r="V173" s="35" t="s">
        <v>40</v>
      </c>
      <c r="W173" s="96" t="s">
        <v>40</v>
      </c>
      <c r="X173" s="96"/>
      <c r="Y173" s="38" t="s">
        <v>43</v>
      </c>
      <c r="Z173" s="45" t="s">
        <v>43</v>
      </c>
      <c r="AA173">
        <f t="shared" si="21"/>
        <v>56</v>
      </c>
    </row>
    <row r="174" spans="2:27" x14ac:dyDescent="0.35">
      <c r="B174">
        <f t="shared" si="20"/>
        <v>57</v>
      </c>
      <c r="C174" s="23" t="str">
        <f t="shared" si="23"/>
        <v>Apple A17 Pro</v>
      </c>
      <c r="D174" s="35" t="s">
        <v>629</v>
      </c>
      <c r="E174" s="35" t="s">
        <v>630</v>
      </c>
      <c r="F174" s="35" t="s">
        <v>631</v>
      </c>
      <c r="G174" s="35" t="s">
        <v>632</v>
      </c>
      <c r="H174" s="35"/>
      <c r="I174" s="106" t="s">
        <v>1005</v>
      </c>
      <c r="J174" s="35" t="s">
        <v>633</v>
      </c>
      <c r="K174" s="35"/>
      <c r="L174" s="655" t="s">
        <v>45</v>
      </c>
      <c r="M174" s="96" t="s">
        <v>634</v>
      </c>
      <c r="N174" s="41"/>
      <c r="O174" s="35" t="s">
        <v>629</v>
      </c>
      <c r="P174" s="41" t="s">
        <v>191</v>
      </c>
      <c r="Q174" s="35" t="s">
        <v>635</v>
      </c>
      <c r="R174" s="35" t="s">
        <v>635</v>
      </c>
      <c r="S174" s="7" t="s">
        <v>43</v>
      </c>
      <c r="T174" s="35" t="s">
        <v>634</v>
      </c>
      <c r="U174" s="35" t="s">
        <v>634</v>
      </c>
      <c r="V174" s="41" t="s">
        <v>45</v>
      </c>
      <c r="W174" s="96" t="s">
        <v>633</v>
      </c>
      <c r="X174" s="96"/>
      <c r="Y174" s="38" t="s">
        <v>43</v>
      </c>
      <c r="Z174" s="45" t="s">
        <v>43</v>
      </c>
      <c r="AA174">
        <f t="shared" si="21"/>
        <v>57</v>
      </c>
    </row>
    <row r="175" spans="2:27" x14ac:dyDescent="0.35">
      <c r="B175">
        <f t="shared" si="20"/>
        <v>58</v>
      </c>
      <c r="C175" s="23" t="str">
        <f t="shared" si="23"/>
        <v xml:space="preserve">Apple M1 Ultra </v>
      </c>
      <c r="D175" s="35" t="s">
        <v>44</v>
      </c>
      <c r="E175" s="35" t="s">
        <v>44</v>
      </c>
      <c r="F175" s="35" t="s">
        <v>44</v>
      </c>
      <c r="G175" s="35" t="s">
        <v>44</v>
      </c>
      <c r="H175" s="35"/>
      <c r="I175" s="106" t="s">
        <v>135</v>
      </c>
      <c r="J175" s="39" t="s">
        <v>47</v>
      </c>
      <c r="K175" s="39"/>
      <c r="L175" s="655" t="s">
        <v>45</v>
      </c>
      <c r="M175" s="96" t="s">
        <v>47</v>
      </c>
      <c r="N175" s="41" t="s">
        <v>289</v>
      </c>
      <c r="O175" s="35" t="s">
        <v>44</v>
      </c>
      <c r="P175" s="41" t="s">
        <v>141</v>
      </c>
      <c r="Q175" s="35" t="s">
        <v>44</v>
      </c>
      <c r="R175" s="36" t="s">
        <v>45</v>
      </c>
      <c r="S175" s="92" t="s">
        <v>43</v>
      </c>
      <c r="T175" s="40" t="s">
        <v>47</v>
      </c>
      <c r="U175" s="40" t="s">
        <v>46</v>
      </c>
      <c r="V175" s="40" t="s">
        <v>46</v>
      </c>
      <c r="W175" s="100" t="s">
        <v>45</v>
      </c>
      <c r="X175" s="100"/>
      <c r="Y175" s="38" t="s">
        <v>43</v>
      </c>
      <c r="Z175" s="45" t="s">
        <v>43</v>
      </c>
      <c r="AA175">
        <f t="shared" si="21"/>
        <v>58</v>
      </c>
    </row>
    <row r="176" spans="2:27" x14ac:dyDescent="0.35">
      <c r="B176">
        <f t="shared" si="20"/>
        <v>59</v>
      </c>
      <c r="C176" s="23" t="str">
        <f t="shared" si="23"/>
        <v xml:space="preserve">Apple M2 Ultra </v>
      </c>
      <c r="D176" s="35" t="s">
        <v>76</v>
      </c>
      <c r="E176" s="35" t="s">
        <v>76</v>
      </c>
      <c r="F176" s="35" t="s">
        <v>76</v>
      </c>
      <c r="G176" s="35" t="s">
        <v>76</v>
      </c>
      <c r="H176" s="35"/>
      <c r="I176" s="106" t="s">
        <v>135</v>
      </c>
      <c r="J176" s="35" t="s">
        <v>76</v>
      </c>
      <c r="K176" s="35"/>
      <c r="L176" s="655" t="s">
        <v>45</v>
      </c>
      <c r="M176" s="96" t="s">
        <v>482</v>
      </c>
      <c r="N176" s="41" t="s">
        <v>289</v>
      </c>
      <c r="O176" s="35" t="s">
        <v>76</v>
      </c>
      <c r="P176" s="41" t="s">
        <v>141</v>
      </c>
      <c r="Q176" s="41" t="s">
        <v>45</v>
      </c>
      <c r="R176" s="36"/>
      <c r="S176" s="92" t="s">
        <v>43</v>
      </c>
      <c r="T176" s="40" t="s">
        <v>78</v>
      </c>
      <c r="U176" s="40" t="s">
        <v>77</v>
      </c>
      <c r="V176" s="40" t="s">
        <v>78</v>
      </c>
      <c r="W176" s="99" t="s">
        <v>482</v>
      </c>
      <c r="X176" s="99"/>
      <c r="Y176" s="38" t="s">
        <v>43</v>
      </c>
      <c r="Z176" s="45" t="s">
        <v>43</v>
      </c>
      <c r="AA176">
        <f t="shared" si="21"/>
        <v>59</v>
      </c>
    </row>
    <row r="177" spans="2:29" x14ac:dyDescent="0.35">
      <c r="B177">
        <f t="shared" si="20"/>
        <v>60</v>
      </c>
      <c r="C177" s="23" t="str">
        <f t="shared" si="23"/>
        <v>Intel i9 13850HX</v>
      </c>
      <c r="D177" s="35" t="s">
        <v>108</v>
      </c>
      <c r="E177" s="41"/>
      <c r="F177" s="41"/>
      <c r="G177" s="35" t="s">
        <v>109</v>
      </c>
      <c r="H177" s="35"/>
      <c r="I177" s="106" t="s">
        <v>18</v>
      </c>
      <c r="J177" s="41" t="s">
        <v>18</v>
      </c>
      <c r="K177" s="41"/>
      <c r="L177" s="655" t="s">
        <v>45</v>
      </c>
      <c r="M177" s="96" t="s">
        <v>428</v>
      </c>
      <c r="N177" s="41" t="s">
        <v>289</v>
      </c>
      <c r="O177" s="41"/>
      <c r="P177" s="41"/>
      <c r="Q177" s="35" t="s">
        <v>109</v>
      </c>
      <c r="R177" s="41"/>
      <c r="S177" s="92" t="s">
        <v>43</v>
      </c>
      <c r="T177" s="35" t="s">
        <v>109</v>
      </c>
      <c r="U177" s="35"/>
      <c r="V177" s="35"/>
      <c r="W177" s="96"/>
      <c r="X177" s="96"/>
      <c r="Y177" s="38" t="s">
        <v>43</v>
      </c>
      <c r="Z177" s="45" t="s">
        <v>43</v>
      </c>
      <c r="AA177">
        <f t="shared" si="21"/>
        <v>60</v>
      </c>
      <c r="AC177" s="38"/>
    </row>
    <row r="178" spans="2:29" x14ac:dyDescent="0.35">
      <c r="B178">
        <f t="shared" si="20"/>
        <v>61</v>
      </c>
      <c r="C178" s="23" t="str">
        <f t="shared" si="23"/>
        <v>Nvidia RTX 4070 laptop</v>
      </c>
      <c r="D178" s="35" t="s">
        <v>111</v>
      </c>
      <c r="E178" s="35" t="s">
        <v>111</v>
      </c>
      <c r="F178" s="35" t="s">
        <v>111</v>
      </c>
      <c r="G178" s="35" t="s">
        <v>162</v>
      </c>
      <c r="H178" s="145" t="s">
        <v>1218</v>
      </c>
      <c r="I178" s="106" t="s">
        <v>135</v>
      </c>
      <c r="J178" s="35" t="s">
        <v>111</v>
      </c>
      <c r="K178" s="35"/>
      <c r="L178" s="655" t="s">
        <v>45</v>
      </c>
      <c r="M178" s="96" t="s">
        <v>111</v>
      </c>
      <c r="N178" s="41" t="s">
        <v>289</v>
      </c>
      <c r="O178" s="35" t="s">
        <v>162</v>
      </c>
      <c r="P178" s="35" t="s">
        <v>45</v>
      </c>
      <c r="Q178" s="35" t="s">
        <v>162</v>
      </c>
      <c r="R178" s="35" t="s">
        <v>45</v>
      </c>
      <c r="S178" s="92" t="s">
        <v>43</v>
      </c>
      <c r="T178" s="35" t="s">
        <v>111</v>
      </c>
      <c r="U178" s="35" t="s">
        <v>111</v>
      </c>
      <c r="V178" s="35" t="s">
        <v>111</v>
      </c>
      <c r="W178" s="96"/>
      <c r="X178" s="96"/>
      <c r="Y178" s="38" t="s">
        <v>43</v>
      </c>
      <c r="Z178" s="45" t="s">
        <v>43</v>
      </c>
      <c r="AA178">
        <f t="shared" si="21"/>
        <v>61</v>
      </c>
    </row>
    <row r="179" spans="2:29" x14ac:dyDescent="0.35">
      <c r="B179">
        <f t="shared" si="20"/>
        <v>62</v>
      </c>
      <c r="C179" s="23" t="str">
        <f t="shared" si="23"/>
        <v>Nvidia RTX 5090 Blackwell desktop</v>
      </c>
      <c r="D179" s="35" t="s">
        <v>1432</v>
      </c>
      <c r="E179" s="35" t="s">
        <v>1431</v>
      </c>
      <c r="F179" s="35" t="s">
        <v>1431</v>
      </c>
      <c r="G179" s="35" t="s">
        <v>1433</v>
      </c>
      <c r="H179" s="145" t="s">
        <v>1218</v>
      </c>
      <c r="I179" s="106" t="s">
        <v>135</v>
      </c>
      <c r="J179" s="35" t="s">
        <v>1430</v>
      </c>
      <c r="K179" s="35"/>
      <c r="L179" s="655" t="s">
        <v>45</v>
      </c>
      <c r="M179" s="96" t="s">
        <v>1430</v>
      </c>
      <c r="N179" s="41" t="s">
        <v>289</v>
      </c>
      <c r="O179" s="35" t="s">
        <v>1431</v>
      </c>
      <c r="P179" s="35" t="s">
        <v>1432</v>
      </c>
      <c r="Q179" t="s">
        <v>1868</v>
      </c>
      <c r="R179" s="41" t="s">
        <v>45</v>
      </c>
      <c r="S179" s="92" t="s">
        <v>43</v>
      </c>
      <c r="T179" s="35" t="s">
        <v>1430</v>
      </c>
      <c r="U179" s="35" t="s">
        <v>1437</v>
      </c>
      <c r="V179" s="35" t="s">
        <v>1430</v>
      </c>
      <c r="W179" s="96" t="s">
        <v>45</v>
      </c>
      <c r="X179" s="96" t="s">
        <v>1430</v>
      </c>
      <c r="Y179" s="38" t="s">
        <v>45</v>
      </c>
      <c r="Z179" s="45" t="s">
        <v>43</v>
      </c>
      <c r="AA179">
        <f t="shared" si="21"/>
        <v>62</v>
      </c>
    </row>
    <row r="180" spans="2:29" ht="15" thickBot="1" x14ac:dyDescent="0.4">
      <c r="B180">
        <f t="shared" si="20"/>
        <v>63</v>
      </c>
      <c r="C180" s="23" t="str">
        <f t="shared" si="23"/>
        <v>Micron V-NAND 3D</v>
      </c>
      <c r="D180" s="14" t="s">
        <v>144</v>
      </c>
      <c r="E180" s="35" t="s">
        <v>55</v>
      </c>
      <c r="F180" s="35" t="s">
        <v>55</v>
      </c>
      <c r="G180" s="41" t="s">
        <v>225</v>
      </c>
      <c r="H180" s="41"/>
      <c r="I180" s="106" t="s">
        <v>135</v>
      </c>
      <c r="J180" s="35" t="s">
        <v>56</v>
      </c>
      <c r="K180" s="35"/>
      <c r="L180" s="655" t="s">
        <v>45</v>
      </c>
      <c r="M180" s="96" t="s">
        <v>517</v>
      </c>
      <c r="N180" s="41" t="s">
        <v>1009</v>
      </c>
      <c r="O180" s="35" t="s">
        <v>55</v>
      </c>
      <c r="P180" s="35" t="s">
        <v>144</v>
      </c>
      <c r="Q180" s="35" t="s">
        <v>56</v>
      </c>
      <c r="R180" s="35" t="s">
        <v>55</v>
      </c>
      <c r="S180" s="92" t="s">
        <v>43</v>
      </c>
      <c r="T180" s="35" t="s">
        <v>333</v>
      </c>
      <c r="U180" s="38" t="s">
        <v>45</v>
      </c>
      <c r="V180" s="38" t="s">
        <v>45</v>
      </c>
      <c r="W180" s="107" t="s">
        <v>45</v>
      </c>
      <c r="X180" s="107"/>
      <c r="Y180" s="38" t="s">
        <v>45</v>
      </c>
      <c r="Z180" s="45" t="s">
        <v>45</v>
      </c>
      <c r="AA180">
        <f t="shared" si="21"/>
        <v>63</v>
      </c>
      <c r="AB180" t="s">
        <v>34</v>
      </c>
      <c r="AC180" s="38" t="s">
        <v>45</v>
      </c>
    </row>
    <row r="181" spans="2:29" ht="21.5" thickTop="1" x14ac:dyDescent="0.5">
      <c r="B181">
        <f t="shared" si="20"/>
        <v>64</v>
      </c>
      <c r="C181" s="702" t="str">
        <f t="shared" si="23"/>
        <v>Comparing with biological brains</v>
      </c>
      <c r="D181" s="461"/>
      <c r="E181" s="461"/>
      <c r="F181" s="470"/>
      <c r="G181" s="470"/>
      <c r="H181" s="470"/>
      <c r="I181" s="470"/>
      <c r="J181" s="463"/>
      <c r="K181" s="463"/>
      <c r="L181" s="463"/>
      <c r="M181" s="463"/>
      <c r="N181" s="463"/>
      <c r="O181" s="470"/>
      <c r="P181" s="463"/>
      <c r="Q181" s="470"/>
      <c r="R181" s="470"/>
      <c r="S181" s="459"/>
      <c r="T181" s="463"/>
      <c r="U181" s="472"/>
      <c r="V181" s="463"/>
      <c r="W181" s="462"/>
      <c r="X181" s="463"/>
      <c r="Y181" s="473"/>
      <c r="Z181" s="468"/>
      <c r="AA181">
        <f t="shared" si="21"/>
        <v>64</v>
      </c>
    </row>
    <row r="182" spans="2:29" x14ac:dyDescent="0.35">
      <c r="B182">
        <f t="shared" si="20"/>
        <v>65</v>
      </c>
      <c r="C182" s="23" t="str">
        <f t="shared" si="23"/>
        <v>Human brain - Life 2.5</v>
      </c>
      <c r="D182" s="39" t="s">
        <v>143</v>
      </c>
      <c r="E182" s="47" t="s">
        <v>291</v>
      </c>
      <c r="F182" s="37" t="s">
        <v>18</v>
      </c>
      <c r="G182" s="37" t="s">
        <v>18</v>
      </c>
      <c r="H182" s="37"/>
      <c r="I182" s="101" t="s">
        <v>319</v>
      </c>
      <c r="J182" t="s">
        <v>319</v>
      </c>
      <c r="L182" t="s">
        <v>45</v>
      </c>
      <c r="M182" s="98" t="s">
        <v>486</v>
      </c>
      <c r="N182" s="224" t="s">
        <v>18</v>
      </c>
      <c r="O182" s="222" t="s">
        <v>18</v>
      </c>
      <c r="P182" s="47" t="s">
        <v>255</v>
      </c>
      <c r="Q182" s="745" t="s">
        <v>150</v>
      </c>
      <c r="R182" s="202" t="s">
        <v>373</v>
      </c>
      <c r="S182" s="92" t="s">
        <v>18</v>
      </c>
      <c r="T182" s="158" t="s">
        <v>149</v>
      </c>
      <c r="U182" s="746" t="s">
        <v>45</v>
      </c>
      <c r="V182" s="747" t="s">
        <v>45</v>
      </c>
      <c r="W182" s="101" t="s">
        <v>319</v>
      </c>
      <c r="X182" s="101"/>
      <c r="Y182" s="51"/>
      <c r="Z182" s="749" t="s">
        <v>153</v>
      </c>
      <c r="AA182">
        <f t="shared" si="21"/>
        <v>65</v>
      </c>
      <c r="AB182" s="4"/>
    </row>
    <row r="183" spans="2:29" ht="15" thickBot="1" x14ac:dyDescent="0.4">
      <c r="B183">
        <f t="shared" si="20"/>
        <v>66</v>
      </c>
      <c r="C183" s="23" t="str">
        <f t="shared" si="23"/>
        <v>Dog/wolf brain 4.1% of human brain - Life 2.0</v>
      </c>
      <c r="D183" t="s">
        <v>972</v>
      </c>
      <c r="E183" s="47" t="s">
        <v>291</v>
      </c>
      <c r="F183" s="37" t="s">
        <v>18</v>
      </c>
      <c r="G183" s="37" t="s">
        <v>18</v>
      </c>
      <c r="H183" s="37"/>
      <c r="I183" s="101" t="s">
        <v>319</v>
      </c>
      <c r="J183" t="s">
        <v>319</v>
      </c>
      <c r="L183" t="s">
        <v>45</v>
      </c>
      <c r="M183" s="98" t="s">
        <v>487</v>
      </c>
      <c r="N183" s="224" t="s">
        <v>18</v>
      </c>
      <c r="O183" s="222" t="s">
        <v>18</v>
      </c>
      <c r="P183" s="47" t="s">
        <v>255</v>
      </c>
      <c r="Q183" s="745" t="s">
        <v>150</v>
      </c>
      <c r="R183" s="202" t="s">
        <v>373</v>
      </c>
      <c r="S183" s="92" t="s">
        <v>18</v>
      </c>
      <c r="T183" s="748" t="s">
        <v>292</v>
      </c>
      <c r="U183" s="746" t="s">
        <v>45</v>
      </c>
      <c r="V183" s="747" t="s">
        <v>45</v>
      </c>
      <c r="W183" s="101" t="s">
        <v>319</v>
      </c>
      <c r="X183" s="101"/>
      <c r="Y183" s="51"/>
      <c r="Z183" s="749" t="s">
        <v>153</v>
      </c>
      <c r="AA183">
        <f t="shared" si="21"/>
        <v>66</v>
      </c>
    </row>
    <row r="184" spans="2:29" ht="21.5" thickTop="1" x14ac:dyDescent="0.5">
      <c r="B184">
        <f t="shared" si="20"/>
        <v>67</v>
      </c>
      <c r="C184" s="702" t="str">
        <f t="shared" si="23"/>
        <v xml:space="preserve">Likely minimum specs for human level AGI capable computer </v>
      </c>
      <c r="D184" s="463"/>
      <c r="E184" s="461"/>
      <c r="F184" s="470"/>
      <c r="G184" s="470"/>
      <c r="H184" s="470"/>
      <c r="I184" s="462"/>
      <c r="J184" s="462"/>
      <c r="K184" s="462"/>
      <c r="L184" s="462"/>
      <c r="M184" s="614"/>
      <c r="N184" s="463"/>
      <c r="O184" s="463"/>
      <c r="P184" s="471"/>
      <c r="Q184" s="463"/>
      <c r="R184" s="462"/>
      <c r="S184" s="459"/>
      <c r="T184" s="474"/>
      <c r="U184" s="472"/>
      <c r="V184" s="463"/>
      <c r="W184" s="463"/>
      <c r="X184" s="463"/>
      <c r="Y184" s="472"/>
      <c r="Z184" s="615"/>
      <c r="AA184">
        <f t="shared" si="21"/>
        <v>67</v>
      </c>
    </row>
    <row r="185" spans="2:29" x14ac:dyDescent="0.35">
      <c r="B185">
        <f t="shared" si="20"/>
        <v>68</v>
      </c>
      <c r="C185" s="23" t="str">
        <f t="shared" si="23"/>
        <v>Min. AGI inference computer if B100 +40TB HBM is required</v>
      </c>
      <c r="D185" t="s">
        <v>810</v>
      </c>
      <c r="E185" t="s">
        <v>985</v>
      </c>
      <c r="F185" t="s">
        <v>319</v>
      </c>
      <c r="G185" t="s">
        <v>319</v>
      </c>
      <c r="H185" s="145" t="s">
        <v>1218</v>
      </c>
      <c r="I185" s="101" t="s">
        <v>135</v>
      </c>
      <c r="J185" t="s">
        <v>135</v>
      </c>
      <c r="L185" t="s">
        <v>45</v>
      </c>
      <c r="M185" s="101" t="s">
        <v>319</v>
      </c>
      <c r="N185" s="145" t="s">
        <v>289</v>
      </c>
      <c r="O185" t="s">
        <v>135</v>
      </c>
      <c r="P185" t="s">
        <v>135</v>
      </c>
      <c r="Q185" s="529" t="s">
        <v>18</v>
      </c>
      <c r="R185" s="616" t="s">
        <v>18</v>
      </c>
      <c r="S185" s="438" t="s">
        <v>45</v>
      </c>
      <c r="T185" t="s">
        <v>319</v>
      </c>
      <c r="U185" t="s">
        <v>319</v>
      </c>
      <c r="V185" t="s">
        <v>319</v>
      </c>
      <c r="W185" s="101" t="s">
        <v>319</v>
      </c>
      <c r="X185" s="101"/>
      <c r="Y185" s="617" t="s">
        <v>43</v>
      </c>
      <c r="Z185" s="530" t="s">
        <v>43</v>
      </c>
      <c r="AA185">
        <f t="shared" si="21"/>
        <v>68</v>
      </c>
    </row>
    <row r="186" spans="2:29" x14ac:dyDescent="0.35">
      <c r="B186">
        <f t="shared" si="20"/>
        <v>69</v>
      </c>
      <c r="C186" s="23" t="str">
        <f t="shared" si="23"/>
        <v>Min. AGI inference computer if B100 +4TB HBM is required</v>
      </c>
      <c r="D186" t="s">
        <v>810</v>
      </c>
      <c r="E186" t="s">
        <v>985</v>
      </c>
      <c r="F186" t="s">
        <v>319</v>
      </c>
      <c r="G186" t="s">
        <v>319</v>
      </c>
      <c r="H186" s="145" t="s">
        <v>1218</v>
      </c>
      <c r="I186" s="101" t="s">
        <v>135</v>
      </c>
      <c r="J186" t="s">
        <v>135</v>
      </c>
      <c r="L186" t="s">
        <v>45</v>
      </c>
      <c r="M186" s="101" t="s">
        <v>319</v>
      </c>
      <c r="N186" s="145" t="s">
        <v>289</v>
      </c>
      <c r="O186" t="s">
        <v>135</v>
      </c>
      <c r="P186" t="s">
        <v>135</v>
      </c>
      <c r="Q186" s="529" t="s">
        <v>18</v>
      </c>
      <c r="R186" s="616" t="s">
        <v>18</v>
      </c>
      <c r="S186" s="438" t="s">
        <v>45</v>
      </c>
      <c r="T186" t="s">
        <v>319</v>
      </c>
      <c r="U186" t="s">
        <v>319</v>
      </c>
      <c r="V186" t="s">
        <v>319</v>
      </c>
      <c r="W186" s="101" t="s">
        <v>319</v>
      </c>
      <c r="X186" s="101"/>
      <c r="Y186" s="617" t="s">
        <v>43</v>
      </c>
      <c r="Z186" s="530" t="s">
        <v>43</v>
      </c>
      <c r="AA186">
        <f t="shared" si="21"/>
        <v>69</v>
      </c>
    </row>
    <row r="187" spans="2:29" ht="15" thickBot="1" x14ac:dyDescent="0.4">
      <c r="B187">
        <f t="shared" si="20"/>
        <v>70</v>
      </c>
      <c r="C187" s="27" t="str">
        <f t="shared" ref="C187" si="24">C78</f>
        <v>15*4 TB SSD disks doing 7.4GB/s each</v>
      </c>
      <c r="D187" s="417" t="s">
        <v>1077</v>
      </c>
      <c r="E187" s="417" t="s">
        <v>1077</v>
      </c>
      <c r="F187" s="669" t="s">
        <v>45</v>
      </c>
      <c r="G187" s="669" t="s">
        <v>45</v>
      </c>
      <c r="H187" s="612" t="s">
        <v>1218</v>
      </c>
      <c r="I187" s="75"/>
      <c r="J187" s="85" t="s">
        <v>1081</v>
      </c>
      <c r="K187" s="85"/>
      <c r="L187" s="85" t="s">
        <v>45</v>
      </c>
      <c r="M187" s="75" t="s">
        <v>1082</v>
      </c>
      <c r="N187" s="677" t="s">
        <v>45</v>
      </c>
      <c r="O187" s="669" t="s">
        <v>45</v>
      </c>
      <c r="P187" s="678" t="s">
        <v>1077</v>
      </c>
      <c r="Q187" s="679" t="s">
        <v>45</v>
      </c>
      <c r="R187" s="672" t="s">
        <v>45</v>
      </c>
      <c r="S187" s="680" t="s">
        <v>45</v>
      </c>
      <c r="T187" s="85" t="s">
        <v>1083</v>
      </c>
      <c r="U187" s="669" t="s">
        <v>45</v>
      </c>
      <c r="V187" s="669" t="s">
        <v>45</v>
      </c>
      <c r="W187" s="681" t="s">
        <v>45</v>
      </c>
      <c r="X187" s="681" t="s">
        <v>45</v>
      </c>
      <c r="Y187" s="682" t="s">
        <v>45</v>
      </c>
      <c r="Z187" s="683" t="s">
        <v>45</v>
      </c>
      <c r="AA187">
        <f t="shared" si="21"/>
        <v>70</v>
      </c>
    </row>
    <row r="188" spans="2:29" ht="15" thickTop="1" x14ac:dyDescent="0.35"/>
    <row r="189" spans="2:29" x14ac:dyDescent="0.35">
      <c r="AC189" s="14"/>
    </row>
    <row r="190" spans="2:29" x14ac:dyDescent="0.35">
      <c r="AB190" s="8"/>
    </row>
    <row r="242" spans="10:12" x14ac:dyDescent="0.35">
      <c r="J242" s="14"/>
      <c r="K242" s="14"/>
      <c r="L242" s="14"/>
    </row>
  </sheetData>
  <phoneticPr fontId="4" type="noConversion"/>
  <hyperlinks>
    <hyperlink ref="U173" r:id="rId1" xr:uid="{5BD2260F-18A7-4EB7-AA81-13E717C178F2}"/>
    <hyperlink ref="V173" r:id="rId2" xr:uid="{3CBA9C4F-460C-408F-BD9B-8BD9C556F13D}"/>
    <hyperlink ref="T173" r:id="rId3" xr:uid="{E36C00C9-543C-47A8-A984-34F500CCA39F}"/>
    <hyperlink ref="J173" r:id="rId4" xr:uid="{3BCC69AB-EF74-47E8-BB9B-A7A4F01D4EB9}"/>
    <hyperlink ref="G173" r:id="rId5" xr:uid="{A3D9483C-0335-402A-B270-16446837CADA}"/>
    <hyperlink ref="D173" r:id="rId6" location="Apple_A15_Bionic" xr:uid="{C2945A03-7A07-4B19-BF4A-B35AFFECE45F}"/>
    <hyperlink ref="E173" r:id="rId7" location="Apple_A15_Bionic" xr:uid="{339A9D7B-50AD-4A3F-8FE3-D0595D770A72}"/>
    <hyperlink ref="F173" r:id="rId8" location="Apple_A15_Bionic" xr:uid="{95421A68-D4A4-4C7E-9244-4506A3A371FC}"/>
    <hyperlink ref="O173" r:id="rId9" location="Apple_A15_Bionic" xr:uid="{1D60EDDC-6CBF-416B-8C22-91E9791229C4}"/>
    <hyperlink ref="Q173" r:id="rId10" location="Apple_A15_Bionic" xr:uid="{70355894-35E3-4AE9-AF95-7D6697C068D9}"/>
    <hyperlink ref="D175" r:id="rId11" location="M_series" xr:uid="{B226DF1D-8429-464B-8FF3-F0E035C325F8}"/>
    <hyperlink ref="E175" r:id="rId12" location="M_series" xr:uid="{44CB47B9-C38E-41EF-A124-F991D0F975BD}"/>
    <hyperlink ref="F175" r:id="rId13" location="M_series" xr:uid="{A839111B-B425-4836-AF0F-6EE0238B13CD}"/>
    <hyperlink ref="G175" r:id="rId14" location="M_series" xr:uid="{30E226D8-FF36-4FE0-9EC5-544357EACB66}"/>
    <hyperlink ref="O175" r:id="rId15" location="M_series" xr:uid="{E6C8E88D-C4A0-4CFB-B5F8-D2A208F63157}"/>
    <hyperlink ref="Q175" r:id="rId16" location="M_series" xr:uid="{41F52908-A921-4671-ABB1-B21B267EC8B2}"/>
    <hyperlink ref="U175" r:id="rId17" xr:uid="{2B325D86-5C6F-4F20-988B-F3251F34793B}"/>
    <hyperlink ref="V175" r:id="rId18" xr:uid="{B73BFEF7-79E9-4C38-A8D2-7E5CE80D9C0C}"/>
    <hyperlink ref="T175" r:id="rId19" xr:uid="{73B5F93E-4B52-4F96-8139-4C498CE491E4}"/>
    <hyperlink ref="J175" r:id="rId20" xr:uid="{14FC0118-FCE7-4E4A-B915-F3A1A50D1482}"/>
    <hyperlink ref="J121" r:id="rId21" xr:uid="{9278FF3E-2015-4E1C-B723-ADE29F7FF72A}"/>
    <hyperlink ref="V121" r:id="rId22" xr:uid="{AA47650B-D563-4BB1-BE93-30A1507F03E1}"/>
    <hyperlink ref="U121" r:id="rId23" xr:uid="{E9620ED1-B446-4253-B3C0-D99E324F8953}"/>
    <hyperlink ref="T121" r:id="rId24" xr:uid="{A6D04E7C-4B60-43CF-B9FB-B6DEDF0B46C1}"/>
    <hyperlink ref="D121" r:id="rId25" xr:uid="{A644A12D-68A9-4583-8C5E-0A3507FB49A7}"/>
    <hyperlink ref="E121" r:id="rId26" xr:uid="{5ECD66A8-E396-4DBA-9B4B-F1E50C6964E1}"/>
    <hyperlink ref="G121" r:id="rId27" xr:uid="{56FC1671-CC5C-484C-94DF-C3A5BAC382CF}"/>
    <hyperlink ref="D152" r:id="rId28" xr:uid="{A04DF5A9-3B03-49DA-997B-8A8DE5324C93}"/>
    <hyperlink ref="D135" r:id="rId29" xr:uid="{9784E4ED-FE80-43C3-9BF3-651087C82D6E}"/>
    <hyperlink ref="J180" r:id="rId30" xr:uid="{D0200F5D-3871-4022-80C7-60D4EE16CE85}"/>
    <hyperlink ref="D155" r:id="rId31" xr:uid="{B588D93D-0D92-4056-B5EE-0BF069C26307}"/>
    <hyperlink ref="E155" r:id="rId32" xr:uid="{FB27EAD2-A2F2-4B42-B2AD-C362BADCF42C}"/>
    <hyperlink ref="G155" r:id="rId33" xr:uid="{5D90E90B-4331-4280-A7A2-63BCA0E47ACC}"/>
    <hyperlink ref="D163" r:id="rId34" xr:uid="{E4B04C01-0119-447A-B416-E2C6C0241474}"/>
    <hyperlink ref="T155" r:id="rId35" xr:uid="{98ECE323-49A4-4E6F-86EA-3E7A34046F54}"/>
    <hyperlink ref="T156" r:id="rId36" display="https://www.youtube.com/watch?v=3ZoP1GCNwYE&amp;t=590s" xr:uid="{1BE892C1-F4B6-404F-9305-1A2B5E63C329}"/>
    <hyperlink ref="O155" r:id="rId37" xr:uid="{6F93145A-F6C7-4FEC-B266-E6DAFF3D82D0}"/>
    <hyperlink ref="J156" r:id="rId38" xr:uid="{736853F8-4E51-4EF4-AE17-1D9CDEC577D4}"/>
    <hyperlink ref="G156" r:id="rId39" display="https://www.youtube.com/watch?v=3ZoP1GCNwYE&amp;t=318" xr:uid="{91D857D8-AB7A-42D2-9C09-E12703C63899}"/>
    <hyperlink ref="D156" r:id="rId40" xr:uid="{2E957C8B-8986-4D99-B8B6-6349DAE01F03}"/>
    <hyperlink ref="D176" r:id="rId41" xr:uid="{5667BD98-A506-41D0-90FF-8AF6E97BA016}"/>
    <hyperlink ref="T176" r:id="rId42" xr:uid="{C9703DF8-2496-4471-A10B-B8E93CE59775}"/>
    <hyperlink ref="U176" r:id="rId43" location=":~:text=In%20total%2C%20the%20M2%20Max%20GPU%20contains%20up,9728%20ALUs%20and%2027.2%20TFLOPS%20of%20FP32%20performance." xr:uid="{58B7DFEF-CEBE-4BE7-9650-33E58A1CC760}"/>
    <hyperlink ref="V176" r:id="rId44" xr:uid="{37CFC276-89A0-4A11-960A-BB979F082BC2}"/>
    <hyperlink ref="D120" r:id="rId45" xr:uid="{2E5A2CFE-7AC5-490A-94A7-45C672F50963}"/>
    <hyperlink ref="T120" r:id="rId46" xr:uid="{57A915BC-145C-4814-9F2F-4AC6E2B1BE5F}"/>
    <hyperlink ref="U120" r:id="rId47" xr:uid="{8E4B1987-5791-4147-87D4-C10C4358E61B}"/>
    <hyperlink ref="V120" r:id="rId48" display="https://www.techpowerup.com/gpu-specs/a100-pcie-40-gb.c3623" xr:uid="{C8393B25-8EDD-4E93-AC9A-79DF70DDE2AB}"/>
    <hyperlink ref="E163" r:id="rId49" xr:uid="{06A1E138-E1EB-438C-8C05-EE931A887BDD}"/>
    <hyperlink ref="T163" r:id="rId50" xr:uid="{43A8E5AD-63D6-4163-A0FF-28B084B3CFEF}"/>
    <hyperlink ref="U163:V163" r:id="rId51" display="https://www.nvidia.com/content/dam/en-zz/Solutions/gtcf21/jetson-orin/nvidia-jetson-agx-orin-technical-brief.pdf" xr:uid="{F6B6D7E0-AEE9-4090-B8E6-04A1F070695F}"/>
    <hyperlink ref="D164" r:id="rId52" xr:uid="{D05FD860-F439-4496-ACB5-583F6CE9D454}"/>
    <hyperlink ref="T125" r:id="rId53" xr:uid="{429051AE-E526-470F-923E-1F792B815020}"/>
    <hyperlink ref="U125:V125" r:id="rId54" display="https://resources.nvidia.com/en-us-grace-cpu/grace-hopper-superchip" xr:uid="{6790EE14-7788-4B09-AB8E-70C28F791B14}"/>
    <hyperlink ref="O125" r:id="rId55" xr:uid="{5B7A3445-FA8F-40EB-A284-072FC3A27E5B}"/>
    <hyperlink ref="D93" r:id="rId56" xr:uid="{535EA0E8-EC8A-4935-8279-A10A27043CF4}"/>
    <hyperlink ref="I94" r:id="rId57" xr:uid="{B4733865-B360-432E-944B-8FDD31960FC3}"/>
    <hyperlink ref="G177" r:id="rId58" xr:uid="{17263BBC-989E-4433-B4B3-8FA50732447E}"/>
    <hyperlink ref="D177" r:id="rId59" xr:uid="{590B7C10-977B-4EBB-9563-60FE7A255693}"/>
    <hyperlink ref="Q177" r:id="rId60" xr:uid="{E7CADC31-C746-4AC6-938B-6AE0A00B783E}"/>
    <hyperlink ref="T177" r:id="rId61" xr:uid="{D2BC35EA-1153-4BB3-9189-6841173B9844}"/>
    <hyperlink ref="D178" r:id="rId62" xr:uid="{F5488E9B-A5FF-4792-A570-601B0175DC7B}"/>
    <hyperlink ref="T178" r:id="rId63" xr:uid="{C7B62ECD-DDF3-4747-82E8-04594DF63218}"/>
    <hyperlink ref="U178:V178" r:id="rId64" display="https://www.notebookcheck.net/NVIDIA-GeForce-RTX-4070-Laptop-GPU-Benchmarks-and-Specs.675690.0.html" xr:uid="{82FE8C9A-43BC-4E25-9688-B19F5D353EA8}"/>
    <hyperlink ref="D82" r:id="rId65" xr:uid="{0BF756BF-D552-464D-A03B-89FDF0B006C9}"/>
    <hyperlink ref="T135" r:id="rId66" xr:uid="{9345E904-09C5-4412-867C-DE551AE49311}"/>
    <hyperlink ref="V135" r:id="rId67" xr:uid="{E249D87F-19F5-4087-AE10-1B994D45DEAB}"/>
    <hyperlink ref="P135" r:id="rId68" xr:uid="{10E69A2B-B3A9-4CBE-B473-15F5E30BDE4C}"/>
    <hyperlink ref="Q163" r:id="rId69" xr:uid="{187DAA92-F492-422B-BBC0-21809A40B263}"/>
    <hyperlink ref="P121" r:id="rId70" xr:uid="{C9C5B0C7-B3F1-49A6-BDC3-0D05D9A32A70}"/>
    <hyperlink ref="P180" r:id="rId71" location=":~:text=Mass%20production%20of%20the%20KIOXIA,scheduled%20to%20begin%20in%202023.&amp;text=%5B1%5D%20As%20of%20September%2028%2C%202022." display="https://www.businesswire.com/news/home/20220927006137/en/Kioxia-Develops-Industry%E2%80%99s-First-2TB-microSDXC-Memory-Card-Working-Prototypes#:~:text=Mass%20production%20of%20the%20KIOXIA,scheduled%20to%20begin%20in%202023.&amp;text=%5B1%5D%20As%20of%20September%2028%2C%202022." xr:uid="{9B5B1FAB-BA25-4D4A-8981-E816390D594D}"/>
    <hyperlink ref="D139" r:id="rId72" xr:uid="{493F1467-FF24-43C0-9F0B-3191F5B51AC2}"/>
    <hyperlink ref="R139" r:id="rId73" xr:uid="{241A3884-59DB-4902-9DEA-A42BC3B250A6}"/>
    <hyperlink ref="Q139" r:id="rId74" xr:uid="{D732E9CD-8239-49D9-BCCE-7B527645BE4B}"/>
    <hyperlink ref="Q178" r:id="rId75" xr:uid="{E8E2F716-DA80-4AA4-8A14-1E2CE4354BDE}"/>
    <hyperlink ref="G178" r:id="rId76" xr:uid="{C2D4115F-B359-4996-B367-414347B7BEF2}"/>
    <hyperlink ref="E139" r:id="rId77" xr:uid="{7C87C9E1-B094-40FB-8138-73DC8C762681}"/>
    <hyperlink ref="T139" r:id="rId78" xr:uid="{46E966A3-564C-4A9D-B6AA-BD9E88775952}"/>
    <hyperlink ref="J155" r:id="rId79" location="Memory_controller" xr:uid="{A4876DA0-E85D-40CA-9272-E630A1A9AFB8}"/>
    <hyperlink ref="E180" r:id="rId80" xr:uid="{B53F2647-D58A-4857-A7FB-0DC73AFB4620}"/>
    <hyperlink ref="F180" r:id="rId81" xr:uid="{5E3BA39A-CF4A-4FCB-BD05-41C8823ACAF6}"/>
    <hyperlink ref="O180" r:id="rId82" xr:uid="{8624ECE8-7999-462B-9483-2A6EA9C5C781}"/>
    <hyperlink ref="D180" r:id="rId83" location=":~:text=Mass%20production%20of%20the%20KIOXIA,scheduled%20to%20begin%20in%202023.&amp;text=%5B1%5D%20As%20of%20September%2028%2C%202022." display="https://www.businesswire.com/news/home/20220927006137/en/Kioxia-Develops-Industry%E2%80%99s-First-2TB-microSDXC-Memory-Card-Working-Prototypes#:~:text=Mass%20production%20of%20the%20KIOXIA,scheduled%20to%20begin%20in%202023.&amp;text=%5B1%5D%20As%20of%20September%2028%2C%202022." xr:uid="{D4FF0FDD-E697-44F4-92AF-5E7FD81DA227}"/>
    <hyperlink ref="W121" r:id="rId84" xr:uid="{950B3DCC-9479-4344-905E-91481378C060}"/>
    <hyperlink ref="W125" r:id="rId85" xr:uid="{698C5599-B411-43D8-8EF0-542DD8CCE23B}"/>
    <hyperlink ref="W120" r:id="rId86" display="https://www.techpowerup.com/gpu-specs/a100-pcie-40-gb.c3623" xr:uid="{F42CFA4B-2682-4154-9F51-FFF96FCA92A0}"/>
    <hyperlink ref="W173" r:id="rId87" xr:uid="{94D06D73-DEAC-4FDF-98EE-2B771F953044}"/>
    <hyperlink ref="W155" r:id="rId88" location="CPU" xr:uid="{19C4DAD7-9F7F-4354-8773-CFE63CC298F2}"/>
    <hyperlink ref="V155" r:id="rId89" xr:uid="{6CF66649-70C9-4184-99C9-F98CB516D6D0}"/>
    <hyperlink ref="W156" r:id="rId90" display="https://www.youtube.com/watch?v=3tV1KPkuiBI&amp;t=2145s" xr:uid="{F1206B67-296B-4E89-9657-C187BBEE5030}"/>
    <hyperlink ref="W157" r:id="rId91" display="https://www.youtube.com/watch?v=3tV1KPkuiBI&amp;t=2145s" xr:uid="{9D361A0F-D4B0-43E0-94E0-29FF02B9CF11}"/>
    <hyperlink ref="D104" r:id="rId92" xr:uid="{51500513-966E-4FB9-9A87-CBBAF6B64F5C}"/>
    <hyperlink ref="J176" r:id="rId93" xr:uid="{B207E9EC-14A1-41A7-8F05-2D22096667B1}"/>
    <hyperlink ref="F110" r:id="rId94" xr:uid="{EC769912-F2A7-4C7F-91CB-D469E33F4A6C}"/>
    <hyperlink ref="E110" r:id="rId95" location="Architecture" xr:uid="{C7D3C614-2C09-429D-AA10-359D3E8E96DC}"/>
    <hyperlink ref="D112" r:id="rId96" xr:uid="{03B3CF9E-EFA8-4165-8E52-1851F83D9880}"/>
    <hyperlink ref="W163" r:id="rId97" xr:uid="{8662E812-8201-486E-B600-A7773A12F60C}"/>
    <hyperlink ref="W164" r:id="rId98" xr:uid="{8BB22FAC-E844-4DEC-9D32-3A1583CE4752}"/>
    <hyperlink ref="D134" r:id="rId99" xr:uid="{5C27FA30-DB81-4CA2-BDC6-A727E3E9D1FD}"/>
    <hyperlink ref="J163" r:id="rId100" xr:uid="{0311FC07-926C-441F-96DC-7F5EE6714417}"/>
    <hyperlink ref="I134" r:id="rId101" xr:uid="{EF685573-C676-43BE-8D68-24D1EBCCA6B2}"/>
    <hyperlink ref="T180" r:id="rId102" xr:uid="{9A278C45-619C-4BB2-BD3E-2A5C7D341508}"/>
    <hyperlink ref="R180" r:id="rId103" xr:uid="{A100B976-5ABF-4895-ADAE-FAA2269C7229}"/>
    <hyperlink ref="Q180" r:id="rId104" xr:uid="{38173497-B322-428B-9D2D-091531B5A76F}"/>
    <hyperlink ref="D182" r:id="rId105" xr:uid="{FC2773F4-E036-45DD-BA36-A9E00D7DCE83}"/>
    <hyperlink ref="G125" r:id="rId106" xr:uid="{E2B74BB7-3F4E-4DD2-8EF6-C3892D9268EB}"/>
    <hyperlink ref="E125" r:id="rId107" xr:uid="{EB8883B4-4F5B-476D-86D1-2158D5C68303}"/>
    <hyperlink ref="F125" r:id="rId108" xr:uid="{1B4475A0-47EA-4074-9276-82F097064D57}"/>
    <hyperlink ref="Q182" r:id="rId109" xr:uid="{F7EBA8C3-216E-4BD4-8200-21C8A1D2B231}"/>
    <hyperlink ref="T182" r:id="rId110" xr:uid="{9DC1F9FA-F07D-4595-B90E-8783FEA91ECC}"/>
    <hyperlink ref="F121" r:id="rId111" xr:uid="{B23CA71E-C8EC-4479-BBAF-717B3C90A216}"/>
    <hyperlink ref="J125" r:id="rId112" xr:uid="{22BC5181-BEF3-498E-BCE2-BF83EA7AB8C3}"/>
    <hyperlink ref="D125" r:id="rId113" xr:uid="{6A42B2C9-D01D-4826-82DD-A52AE72B437E}"/>
    <hyperlink ref="Q125" r:id="rId114" xr:uid="{9C74B4FF-A894-4236-84C8-014662CD530D}"/>
    <hyperlink ref="D84" r:id="rId115" xr:uid="{E9FCC0F9-B157-44B8-98A1-DABAF79EB6B3}"/>
    <hyperlink ref="Q183" r:id="rId116" xr:uid="{AEDDA3BD-C75F-498C-B55B-2015B2600E99}"/>
    <hyperlink ref="P120" r:id="rId117" xr:uid="{D102806C-C83F-474A-A9CB-0B60BB224F71}"/>
    <hyperlink ref="N99" r:id="rId118" xr:uid="{C063B2FC-4A38-43B8-8576-3A210167CB51}"/>
    <hyperlink ref="W176" r:id="rId119" xr:uid="{A52C0A37-8113-4651-9934-93E5F6C06952}"/>
    <hyperlink ref="M176" r:id="rId120" xr:uid="{09CC96FA-C771-40EF-A2BD-DDDA71B3B719}"/>
    <hyperlink ref="M173" r:id="rId121" xr:uid="{52FEDD97-8932-49D3-9AF3-02FEF9E52619}"/>
    <hyperlink ref="M175" r:id="rId122" xr:uid="{58D3F013-3881-45E6-B7BE-6E0652951C95}"/>
    <hyperlink ref="E120" r:id="rId123" xr:uid="{6BF67AB0-AEE2-4F06-8135-ECB001BBAA42}"/>
    <hyperlink ref="F120:J120" r:id="rId124" display="https://www.techpowerup.com/gpu-specs/a100-pcie-40-gb.c3623" xr:uid="{56CB7356-3F33-426B-B20A-E0C8964762DF}"/>
    <hyperlink ref="M120" r:id="rId125" xr:uid="{4716645B-9E85-4E06-B319-E29096A987CC}"/>
    <hyperlink ref="M121" r:id="rId126" xr:uid="{2838FC9E-3A20-4183-8B4A-9CAB7934D263}"/>
    <hyperlink ref="M125" r:id="rId127" xr:uid="{AE838637-9317-416D-AB78-213FA616FE18}"/>
    <hyperlink ref="M155" r:id="rId128" location="Memory_controller" xr:uid="{AB88658D-3C56-49A9-A49B-3CC44A0D1AB3}"/>
    <hyperlink ref="M163" r:id="rId129" xr:uid="{BFCD0F92-7700-4ADE-B77F-4CF535D47ED1}"/>
    <hyperlink ref="M177" r:id="rId130" xr:uid="{4362EE57-3B7F-477C-AE32-BB6928B2CE78}"/>
    <hyperlink ref="J178" r:id="rId131" xr:uid="{C03DAE16-0480-4183-BBAD-8B14000CC051}"/>
    <hyperlink ref="M178" r:id="rId132" xr:uid="{4156EE70-BBA5-4E6D-BEA6-73E578218A3A}"/>
    <hyperlink ref="G135" r:id="rId133" xr:uid="{A8512E21-BAB9-481F-A698-02C0240FD8D8}"/>
    <hyperlink ref="E135" r:id="rId134" xr:uid="{3B420C3F-CE1F-414B-8D3D-8EB6392C366C}"/>
    <hyperlink ref="F135" r:id="rId135" xr:uid="{F72EE6CE-456F-4D28-8C4E-80046041F380}"/>
    <hyperlink ref="O135" r:id="rId136" xr:uid="{CBCECA02-F529-487E-B693-512642544472}"/>
    <hyperlink ref="Q135" r:id="rId137" xr:uid="{15C99167-E6C3-4FA4-AD2E-488421B8E95B}"/>
    <hyperlink ref="R135" r:id="rId138" xr:uid="{03FE1634-E1F7-47D1-8EED-116F7632F061}"/>
    <hyperlink ref="M135" r:id="rId139" xr:uid="{DC55B680-CABC-4CFC-880C-AEE27192C69B}"/>
    <hyperlink ref="AE2" r:id="rId140" xr:uid="{3A036A63-52DB-473D-9E1B-AEB9C8353685}"/>
    <hyperlink ref="M182:M183" r:id="rId141" display="https://youtu.be/Y6Sgp7y178k?t=177" xr:uid="{E7EDFB3B-E8E1-4B4E-ADEC-C8B772D20133}"/>
    <hyperlink ref="U155" r:id="rId142" xr:uid="{1C263AED-6AF8-456D-A4A3-37B7F961A532}"/>
    <hyperlink ref="D119" r:id="rId143" xr:uid="{92964420-FA90-4304-8E19-05677D24234F}"/>
    <hyperlink ref="E119" r:id="rId144" xr:uid="{027A35BD-D717-45FC-9C7B-3356ED4358EA}"/>
    <hyperlink ref="G119" r:id="rId145" xr:uid="{2B6D09B3-A71D-4DED-B290-347F69EDF5F6}"/>
    <hyperlink ref="M119" r:id="rId146" xr:uid="{E37A54C3-25D8-404F-912D-2BF5B35307E3}"/>
    <hyperlink ref="J119" r:id="rId147" xr:uid="{8506CD8A-2CC4-4DF9-AA56-6160ED14495B}"/>
    <hyperlink ref="O119" r:id="rId148" xr:uid="{164B5B0C-C18B-4204-9EBF-2299B9763700}"/>
    <hyperlink ref="Q119" r:id="rId149" xr:uid="{F7D138EB-0DDF-42BC-BFC3-8981DD408FD1}"/>
    <hyperlink ref="T119" r:id="rId150" xr:uid="{B83B2B2C-5D38-445C-84D1-417910FB8247}"/>
    <hyperlink ref="U119:W119" r:id="rId151" display="https://images.nvidia.com/content/technologies/volta/pdf/volta-v100-datasheet-update-us-1165301-r5.pdf" xr:uid="{41CA1E5B-B91F-469A-8BE1-B89B65158226}"/>
    <hyperlink ref="M139" r:id="rId152" xr:uid="{4FB5F7A9-67DA-49B2-BC3A-FF99DC8FF2DA}"/>
    <hyperlink ref="M180" r:id="rId153" xr:uid="{6FA36415-3EE4-43FC-AC43-824913410A7B}"/>
    <hyperlink ref="M152" r:id="rId154" xr:uid="{CB35FD76-28FB-42EE-87D7-7FDBD74CE95B}"/>
    <hyperlink ref="W152" r:id="rId155" xr:uid="{70835F2C-D849-4C8E-90E7-91046FD9C451}"/>
    <hyperlink ref="U152" r:id="rId156" xr:uid="{6C776720-6C0A-49BB-A614-26670017CA11}"/>
    <hyperlink ref="M144" r:id="rId157" xr:uid="{E6B02B60-33AD-4BDF-AF2C-C613400CC131}"/>
    <hyperlink ref="J144" r:id="rId158" xr:uid="{22CCA1C2-F3B4-4598-9DA2-20EFA6AB607E}"/>
    <hyperlink ref="E147" r:id="rId159" xr:uid="{475B6AB9-43B4-41DD-9054-271E15E0B8F0}"/>
    <hyperlink ref="D142" r:id="rId160" xr:uid="{F83870F2-56C1-4286-BD98-01B0AA3E35BA}"/>
    <hyperlink ref="E142" r:id="rId161" display="https://youtu.be/YZzROmj5Ols?si=np6xBwjEw18EvhZ7&amp;t=402" xr:uid="{663EC458-0E3A-4699-A55A-CD99FA8F07C9}"/>
    <hyperlink ref="O143" r:id="rId162" xr:uid="{FA15F96D-4253-43EC-9622-53678F32B6A7}"/>
    <hyperlink ref="O142" r:id="rId163" xr:uid="{4D108546-5804-4E67-8182-CB86E42EBED0}"/>
    <hyperlink ref="P143" r:id="rId164" xr:uid="{64069E07-2135-4233-8BF2-4E0FFF02BF78}"/>
    <hyperlink ref="Q143" r:id="rId165" xr:uid="{2E4411EB-470A-4E8A-8711-62034F479265}"/>
    <hyperlink ref="P142" r:id="rId166" display="https://youtu.be/YZzROmj5Ols?si=BajlxtFnBcGDwmLY&amp;t=403" xr:uid="{B2503828-E86E-438B-8E6C-C55CFFA27ED8}"/>
    <hyperlink ref="Q142" r:id="rId167" xr:uid="{C678A4FD-4AD6-4E5E-80B7-C580CA49562C}"/>
    <hyperlink ref="R143" r:id="rId168" xr:uid="{CEB4E181-F363-498B-A0E7-F0429112D98D}"/>
    <hyperlink ref="R142" r:id="rId169" xr:uid="{76144013-E0B5-4EDC-B2E3-94236C2C479B}"/>
    <hyperlink ref="M142" r:id="rId170" xr:uid="{ADFAF790-C101-4E28-9106-2EFA2AE149CF}"/>
    <hyperlink ref="T143" r:id="rId171" xr:uid="{D461B5E1-A527-42D6-A2B4-AF6FD245E048}"/>
    <hyperlink ref="T142" r:id="rId172" xr:uid="{E7F75058-8FBB-4DFB-B5F1-F1A7C2DFD4DB}"/>
    <hyperlink ref="M143" r:id="rId173" xr:uid="{40B71966-F6F5-4D0A-98E9-DE64246902D9}"/>
    <hyperlink ref="E149" r:id="rId174" xr:uid="{E20D405C-3A06-4E04-B8D7-6B46CD4B090B}"/>
    <hyperlink ref="D143" r:id="rId175" xr:uid="{9FC3663B-FD3A-4973-BF17-6A19209D4EC2}"/>
    <hyperlink ref="E143" r:id="rId176" display="https://youtu.be/YZzROmj5Ols?si=np6xBwjEw18EvhZ7&amp;t=402" xr:uid="{653725FB-37F4-4244-AB1B-8B58103EF55D}"/>
    <hyperlink ref="T149" r:id="rId177" xr:uid="{5F57F852-791D-4D09-B70A-C5C1226FD286}"/>
    <hyperlink ref="V149" r:id="rId178" xr:uid="{AAB349C5-FD5E-4548-9CCF-879A3F48E114}"/>
    <hyperlink ref="W149" r:id="rId179" xr:uid="{2D1C8983-2811-4A77-9F36-07C478ED30A8}"/>
    <hyperlink ref="Q149" r:id="rId180" xr:uid="{682003DA-65D8-4997-9C93-0F54537C1E89}"/>
    <hyperlink ref="R149" r:id="rId181" display="https://youtu.be/YZzROmj5Ols?si=AG9ysgWslgkKVNfM&amp;t=239" xr:uid="{D32EE57C-5197-4C72-9EC1-BFD36CDF3A6B}"/>
    <hyperlink ref="J149" r:id="rId182" xr:uid="{F292357C-3310-45B0-8126-61E5F0AA9DD0}"/>
    <hyperlink ref="M149" r:id="rId183" xr:uid="{FD31A4D1-AFAA-4510-BFF8-50EEA611BDB1}"/>
    <hyperlink ref="D149" r:id="rId184" xr:uid="{E93E4AF1-D1B4-44CF-94AA-5903C7B3A8C2}"/>
    <hyperlink ref="D151" r:id="rId185" xr:uid="{A1A58927-3C09-40F4-8C34-F559F9E679DE}"/>
    <hyperlink ref="E151" r:id="rId186" xr:uid="{8E592F01-D916-4B73-8832-61AB2796CFF6}"/>
    <hyperlink ref="J140" r:id="rId187" xr:uid="{FD000D43-2094-4141-82FB-A397623C8EAC}"/>
    <hyperlink ref="D140" r:id="rId188" xr:uid="{BF1D2F7A-7640-495B-B85C-AD26332CCD0F}"/>
    <hyperlink ref="E140" r:id="rId189" display="https://www.tomshardware.com/news/intel-habana-gaudi2-outperforms-nvidia-a100" xr:uid="{98D62B3C-0FF9-464A-A8AD-53B2171B1B71}"/>
    <hyperlink ref="W140" r:id="rId190" xr:uid="{ADB92580-DB3E-4AC2-9F4C-BD3C4F916427}"/>
    <hyperlink ref="F140" r:id="rId191" xr:uid="{5D06C01C-074F-4319-887C-10EBC08780D7}"/>
    <hyperlink ref="U147" r:id="rId192" xr:uid="{337ADBDB-AACA-41FF-A36E-798BF3B8E98E}"/>
    <hyperlink ref="V147:W147" r:id="rId193" display="https://awsdocs-neuron.readthedocs-hosted.com/en/latest/general/arch/neuron-hardware/trainium.html" xr:uid="{76FA1732-2C79-4EDE-8ED2-3298CDB461E3}"/>
    <hyperlink ref="M147" r:id="rId194" xr:uid="{7A542683-3AEA-416B-A338-FC28E95F2EA8}"/>
    <hyperlink ref="D174" r:id="rId195" xr:uid="{CC0E79B8-57E0-4D27-8C18-C24DA67C71AA}"/>
    <hyperlink ref="E174" r:id="rId196" display="https://en.wikipedia.org/wiki/Apple_A17" xr:uid="{7BF55DA5-87BF-4541-A341-0579C52E446C}"/>
    <hyperlink ref="F174:G174" r:id="rId197" display="https://en.wikipedia.org/wiki/Apple_A17" xr:uid="{937140E7-A5CC-4670-9AA5-69C3C82519B2}"/>
    <hyperlink ref="O174" r:id="rId198" xr:uid="{5DE87E27-658F-4F79-85D7-84F0A3BBEFB2}"/>
    <hyperlink ref="J174" r:id="rId199" xr:uid="{D5DB8C1E-0673-40F6-922E-9D9C63096E2C}"/>
    <hyperlink ref="W174" r:id="rId200" xr:uid="{828515AA-417C-4D2A-969A-B296D7F0A5FB}"/>
    <hyperlink ref="M174" r:id="rId201" xr:uid="{DE3FBAB9-E7D9-409A-9E96-6A094CACCF16}"/>
    <hyperlink ref="T174" r:id="rId202" xr:uid="{E6B5378F-D577-473F-9BAA-9E4F7F62B84D}"/>
    <hyperlink ref="Q174" r:id="rId203" xr:uid="{2606B560-A1E0-4D27-9B8C-116B08E5D291}"/>
    <hyperlink ref="R174" r:id="rId204" xr:uid="{CED18C38-8ADE-436D-A012-0381DF03A748}"/>
    <hyperlink ref="U174" r:id="rId205" xr:uid="{103517B0-F543-4D4A-8181-AEBFB2245A84}"/>
    <hyperlink ref="G141" r:id="rId206" display="https://www.intel.com/content/www/us/en/content-details/817486/intel-gaudi-3-ai-accelerator-white-paper.html" xr:uid="{C0D3B9C8-5DB0-4C8C-8368-D54B491277A1}"/>
    <hyperlink ref="T152" r:id="rId207" xr:uid="{827AC4E9-CB67-4208-BCBB-A25DC1B0CCC4}"/>
    <hyperlink ref="T157" r:id="rId208" xr:uid="{131DDBE8-7AEE-4944-852E-F337069F0E7D}"/>
    <hyperlink ref="T123" r:id="rId209" xr:uid="{1C5891AA-94E1-480D-90DA-201F62EA03CA}"/>
    <hyperlink ref="V123" r:id="rId210" xr:uid="{A8BB7CF7-3C30-4420-9A36-A09D02F3095F}"/>
    <hyperlink ref="X157" r:id="rId211" display="https://www.youtube.com/watch?v=3tV1KPkuiBI&amp;t=2145s" xr:uid="{EC569CFB-B019-41CC-A19A-C2D692BFF341}"/>
    <hyperlink ref="M100" r:id="rId212" xr:uid="{7852F7DD-9D3D-4F22-A3B4-EBBD4189DC2F}"/>
    <hyperlink ref="U85" r:id="rId213" xr:uid="{77C3E8CB-3637-490A-BFE4-C4AD909CEBB0}"/>
    <hyperlink ref="U86" r:id="rId214" xr:uid="{651A646F-1FB6-45B9-A442-0A72E2C7DCEC}"/>
    <hyperlink ref="E90" r:id="rId215" xr:uid="{74694712-F085-47BE-B885-457A85A399BC}"/>
    <hyperlink ref="O121" r:id="rId216" xr:uid="{F1A9DD87-027F-44BE-8693-EBFF928A846E}"/>
    <hyperlink ref="Q121" r:id="rId217" xr:uid="{D3660AFE-66DA-4314-953B-CA238AFAA76F}"/>
    <hyperlink ref="P123" r:id="rId218" xr:uid="{F2490FDA-7D8B-4E19-84CA-BEDB2DE71E35}"/>
    <hyperlink ref="P124" r:id="rId219" xr:uid="{CA16D64B-8C66-47CA-AD2B-98F240FFA6EF}"/>
    <hyperlink ref="AB123" r:id="rId220" xr:uid="{502EE1DD-00BA-4845-894F-36E189167BAB}"/>
    <hyperlink ref="P163" r:id="rId221" xr:uid="{CDB2AF81-E97C-46E5-B524-57C5E9FBB405}"/>
    <hyperlink ref="P126" r:id="rId222" xr:uid="{2077EE08-278C-46CD-ACB2-618F0E93F8E0}"/>
    <hyperlink ref="P125" r:id="rId223" xr:uid="{F4A8903E-71AC-4DE1-94A8-254A2775CFE1}"/>
    <hyperlink ref="D187" r:id="rId224" xr:uid="{435233E3-B139-47DC-9E96-F0FE67E65841}"/>
    <hyperlink ref="E187" r:id="rId225" xr:uid="{2A43E638-C541-441C-A5B3-9A3AE1C0B58D}"/>
    <hyperlink ref="P187" r:id="rId226" xr:uid="{424216AD-587C-4E37-89DF-F8B3D59A4E2E}"/>
    <hyperlink ref="H165" r:id="rId227" xr:uid="{CF36F492-FC98-4755-AF12-C6354DEE2E91}"/>
    <hyperlink ref="D159" r:id="rId228" xr:uid="{F383F5F1-7746-4F63-877F-4D7527C8A2A0}"/>
    <hyperlink ref="AB54" r:id="rId229" location="?search=Data%20Sheet&amp;tx=$product,jetson_agx_orin,jetson_orin_nx,jetson_orin_nano" xr:uid="{ACF38B8E-35C9-4C31-AE9F-B3368BD5F198}"/>
    <hyperlink ref="AB50" r:id="rId230" location="?search=Data%20Sheet&amp;tx=$product,jetson_agx_orin,jetson_orin_nx,jetson_orin_nano" xr:uid="{46867A0D-FAE2-461B-9749-3B96753AE975}"/>
    <hyperlink ref="O159" r:id="rId231" xr:uid="{57ACB03C-8B41-4812-B594-8FD22D897074}"/>
    <hyperlink ref="P159" r:id="rId232" xr:uid="{9AD9BA4F-151F-4737-8B92-2E29336F86F2}"/>
    <hyperlink ref="P161" r:id="rId233" xr:uid="{BE536286-EFB9-4215-84E2-6353C6C92F1A}"/>
    <hyperlink ref="V164" r:id="rId234" location="DRIVE_Thor" xr:uid="{CE513078-92DC-4A71-86B8-C74475A72AC8}"/>
    <hyperlink ref="X179" r:id="rId235" xr:uid="{40D4D3CF-E26D-4C87-8528-3342F55996F9}"/>
    <hyperlink ref="J164" r:id="rId236" display="https://www.youtube.com/live/k82RwXqZHY8?si=OGPQXThJE4QKjjmT&amp;t=4205" xr:uid="{0C588ECB-86BE-4A19-AB28-6C0131A7D8F3}"/>
    <hyperlink ref="I171" r:id="rId237" location=":~:text=The%20GB10%20Superchip%20is%20a%20system-on-a-chip%20%28SoC%29%20based,1%20petaflop%20of%20AI%20performance%20at%20FP4%20precision." xr:uid="{5ABE9E0A-B9D8-4A88-A884-2D971E5A5C8E}"/>
    <hyperlink ref="AD62" r:id="rId238" xr:uid="{0F734082-F0F9-45FD-9D45-B9C56A6D3CBB}"/>
    <hyperlink ref="E164" r:id="rId239" xr:uid="{37FBC795-E731-449E-B1E4-D2CA8F63B279}"/>
    <hyperlink ref="E171" r:id="rId240" xr:uid="{36CFDEE8-0CCF-432E-AC0A-4E8431D16B43}"/>
    <hyperlink ref="AD55" r:id="rId241" xr:uid="{49592F52-9F2F-4B1C-9DA2-18A8DB649734}"/>
    <hyperlink ref="P158" r:id="rId242" xr:uid="{1C630F32-B332-4922-B677-2C8EA1DCF52F}"/>
    <hyperlink ref="D158" r:id="rId243" xr:uid="{A6E82E51-B103-4A2F-B547-22E492C91FEB}"/>
    <hyperlink ref="M122" r:id="rId244" xr:uid="{DC9DDDA8-515E-460E-AF64-869182985B6C}"/>
    <hyperlink ref="U123" r:id="rId245" xr:uid="{DE428BBD-69B2-4B57-A020-247B6C610A41}"/>
    <hyperlink ref="D148" r:id="rId246" xr:uid="{16470885-D0B3-49D8-8ABC-5247191F9C4F}"/>
    <hyperlink ref="W161" r:id="rId247" xr:uid="{CF8B30A0-2092-43A9-9F15-DF7AC168145D}"/>
    <hyperlink ref="T160" r:id="rId248" xr:uid="{E340BC7F-F1BC-47A3-9000-F774AF707D07}"/>
    <hyperlink ref="M136" r:id="rId249" xr:uid="{C8CBF0AB-AE42-4267-9CE6-0E4A2EE977EA}"/>
    <hyperlink ref="L121" r:id="rId250" xr:uid="{0248290A-B74F-462B-B00E-9D89FEAC623F}"/>
    <hyperlink ref="L137" r:id="rId251" xr:uid="{B9170524-FDD7-4B21-9ADE-A1141B0E16C6}"/>
    <hyperlink ref="D167" r:id="rId252" xr:uid="{BE5AE637-9720-4FBF-B60C-E0B8A62B890D}"/>
    <hyperlink ref="X126" r:id="rId253" xr:uid="{1D33BEC2-6E98-40A1-BE0E-48B5EEEB2D8C}"/>
    <hyperlink ref="X127" r:id="rId254" xr:uid="{E9F97434-61EE-4DC1-AC3A-8A294EBED76E}"/>
    <hyperlink ref="X128" r:id="rId255" xr:uid="{AA7C933A-326F-4019-9533-2ACF47A31DEF}"/>
    <hyperlink ref="M128" r:id="rId256" xr:uid="{61CB5550-307B-4BAB-A3F5-2A9F8FDE15D0}"/>
    <hyperlink ref="X129" r:id="rId257" xr:uid="{4DEC6995-DD7B-4FFC-B03A-FE29BABD439C}"/>
    <hyperlink ref="W129" r:id="rId258" xr:uid="{21857832-54B1-4A23-9EAA-6880E42D20B3}"/>
    <hyperlink ref="D127" r:id="rId259" xr:uid="{BB28E229-5F6A-4303-9CFD-B59F462CDB5E}"/>
    <hyperlink ref="D128" r:id="rId260" xr:uid="{38FF41F1-EB7C-44E6-B350-78C4A80C5F4F}"/>
    <hyperlink ref="M129" r:id="rId261" xr:uid="{78F8E3BA-4F15-4310-9176-70AF19E764E9}"/>
    <hyperlink ref="J129" r:id="rId262" xr:uid="{FE5E5EA9-62DF-4995-8AC3-48BADF182CB7}"/>
    <hyperlink ref="D129" r:id="rId263" xr:uid="{5540D46C-134D-4AF7-9615-4B953AC58F24}"/>
    <hyperlink ref="G145" r:id="rId264" xr:uid="{691A2304-6769-472C-B8A9-B8CAEE27C06D}"/>
  </hyperlinks>
  <pageMargins left="0.7" right="0.7" top="0.75" bottom="0.75" header="0.3" footer="0.3"/>
  <pageSetup paperSize="9" orientation="portrait" verticalDpi="0" r:id="rId26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06DC3-54AF-4B7F-AE2A-BA8234786C98}">
  <dimension ref="A1:AC147"/>
  <sheetViews>
    <sheetView workbookViewId="0">
      <pane xSplit="4" ySplit="22" topLeftCell="E23" activePane="bottomRight" state="frozen"/>
      <selection pane="topRight" activeCell="E1" sqref="E1"/>
      <selection pane="bottomLeft" activeCell="A19" sqref="A19"/>
      <selection pane="bottomRight" activeCell="R33" sqref="R33"/>
    </sheetView>
  </sheetViews>
  <sheetFormatPr defaultRowHeight="14.5" x14ac:dyDescent="0.35"/>
  <cols>
    <col min="1" max="1" width="3.6328125" customWidth="1"/>
    <col min="2" max="2" width="5.26953125" customWidth="1"/>
    <col min="3" max="3" width="43.54296875" customWidth="1"/>
    <col min="4" max="4" width="17.453125" customWidth="1"/>
    <col min="5" max="5" width="12.08984375" customWidth="1"/>
    <col min="6" max="6" width="27.1796875" customWidth="1"/>
    <col min="7" max="7" width="16.6328125" customWidth="1"/>
    <col min="8" max="8" width="6.81640625" customWidth="1"/>
    <col min="9" max="9" width="9.81640625" customWidth="1"/>
    <col min="10" max="10" width="14.6328125" customWidth="1"/>
    <col min="11" max="11" width="14.36328125" customWidth="1"/>
    <col min="12" max="12" width="15.6328125" customWidth="1"/>
    <col min="13" max="13" width="14.1796875" customWidth="1"/>
    <col min="14" max="14" width="11.36328125" customWidth="1"/>
    <col min="15" max="15" width="14.36328125" customWidth="1"/>
    <col min="16" max="16" width="15.08984375" customWidth="1"/>
    <col min="17" max="17" width="15.453125" customWidth="1"/>
    <col min="18" max="18" width="17.54296875" customWidth="1"/>
    <col min="19" max="19" width="17.1796875" customWidth="1"/>
    <col min="20" max="20" width="11.08984375" customWidth="1"/>
    <col min="21" max="21" width="11.7265625" customWidth="1"/>
    <col min="22" max="22" width="11.26953125" customWidth="1"/>
    <col min="23" max="23" width="4.6328125" customWidth="1"/>
    <col min="24" max="24" width="5.453125" customWidth="1"/>
    <col min="25" max="25" width="23.7265625" customWidth="1"/>
    <col min="26" max="26" width="5.1796875" customWidth="1"/>
    <col min="27" max="27" width="6.81640625" customWidth="1"/>
    <col min="28" max="28" width="5.36328125" customWidth="1"/>
    <col min="29" max="29" width="32.453125" customWidth="1"/>
    <col min="30" max="30" width="12" customWidth="1"/>
    <col min="31" max="31" width="26.90625" customWidth="1"/>
    <col min="32" max="32" width="16.453125" customWidth="1"/>
    <col min="33" max="33" width="8.90625" customWidth="1"/>
    <col min="34" max="34" width="12.54296875" customWidth="1"/>
    <col min="35" max="35" width="12.6328125" customWidth="1"/>
    <col min="36" max="36" width="11.1796875" customWidth="1"/>
    <col min="37" max="37" width="11.26953125" customWidth="1"/>
    <col min="38" max="38" width="7.26953125" customWidth="1"/>
    <col min="39" max="39" width="14" customWidth="1"/>
    <col min="40" max="40" width="13.7265625" customWidth="1"/>
    <col min="41" max="41" width="12.08984375" customWidth="1"/>
    <col min="42" max="42" width="11.7265625" customWidth="1"/>
  </cols>
  <sheetData>
    <row r="1" spans="1:29" ht="28.5" x14ac:dyDescent="0.65">
      <c r="A1" s="9" t="str">
        <f>AI_Models!A1</f>
        <v>Path towards AGI &amp; artificial humans - How close are AIs and robotics from being able to do any work that humans can do? #74/101</v>
      </c>
      <c r="Y1" s="2">
        <v>1000</v>
      </c>
      <c r="Z1" t="s">
        <v>393</v>
      </c>
      <c r="AA1" t="s">
        <v>392</v>
      </c>
    </row>
    <row r="2" spans="1:29" ht="15.5" x14ac:dyDescent="0.35">
      <c r="A2" s="10" t="str">
        <f>KeyChips!A2</f>
        <v>Proprietary. © H. Mathiesen. This material can be used by others free of charge provided that the author H. Mathiesen is attributed and a clickable link is made visible to the location of used material on www.hmexperience.dk</v>
      </c>
      <c r="Y2" s="2">
        <v>1000000</v>
      </c>
      <c r="Z2" t="s">
        <v>318</v>
      </c>
      <c r="AA2" t="s">
        <v>371</v>
      </c>
      <c r="AB2" s="14" t="s">
        <v>126</v>
      </c>
      <c r="AC2" t="s">
        <v>45</v>
      </c>
    </row>
    <row r="3" spans="1:29" ht="15.5" x14ac:dyDescent="0.35">
      <c r="A3" s="414" t="str">
        <f>AI_Models!A3</f>
        <v>Links to all sources are available in sources table below</v>
      </c>
      <c r="B3" s="415"/>
      <c r="C3" s="415"/>
      <c r="D3" s="415"/>
      <c r="Y3" s="2">
        <v>1000000000</v>
      </c>
      <c r="Z3" t="s">
        <v>231</v>
      </c>
      <c r="AA3" t="s">
        <v>230</v>
      </c>
    </row>
    <row r="4" spans="1:29" x14ac:dyDescent="0.35">
      <c r="K4" s="12">
        <f>K43/J43</f>
        <v>2.0129870129870131</v>
      </c>
      <c r="L4" t="s">
        <v>490</v>
      </c>
      <c r="O4">
        <v>2</v>
      </c>
      <c r="P4" t="s">
        <v>3114</v>
      </c>
      <c r="Y4" s="2">
        <v>1000000000000</v>
      </c>
      <c r="Z4" t="s">
        <v>127</v>
      </c>
      <c r="AA4" t="s">
        <v>124</v>
      </c>
    </row>
    <row r="5" spans="1:29" ht="24" thickBot="1" x14ac:dyDescent="0.6">
      <c r="C5" s="30" t="s">
        <v>902</v>
      </c>
      <c r="D5" s="31"/>
      <c r="E5" s="31"/>
      <c r="F5" s="31"/>
      <c r="G5" s="31"/>
      <c r="H5" s="31"/>
      <c r="I5" s="31"/>
      <c r="J5" s="31"/>
      <c r="Q5" s="31"/>
      <c r="R5" s="31"/>
      <c r="S5" s="31"/>
      <c r="T5" s="31"/>
      <c r="U5" s="31"/>
      <c r="V5" s="31"/>
      <c r="Y5" s="2">
        <v>1000000000000000</v>
      </c>
      <c r="Z5" t="s">
        <v>146</v>
      </c>
      <c r="AA5" t="s">
        <v>145</v>
      </c>
    </row>
    <row r="6" spans="1:29" ht="15" thickTop="1" x14ac:dyDescent="0.35">
      <c r="C6" s="18" t="s">
        <v>134</v>
      </c>
      <c r="D6" s="19" t="s">
        <v>12</v>
      </c>
      <c r="E6" s="19" t="s">
        <v>7</v>
      </c>
      <c r="F6" s="19" t="s">
        <v>164</v>
      </c>
      <c r="G6" s="19" t="s">
        <v>117</v>
      </c>
      <c r="H6" s="19" t="s">
        <v>131</v>
      </c>
      <c r="I6" s="19" t="s">
        <v>797</v>
      </c>
      <c r="J6" s="19" t="s">
        <v>323</v>
      </c>
      <c r="K6" s="19" t="s">
        <v>323</v>
      </c>
      <c r="L6" s="19" t="s">
        <v>179</v>
      </c>
      <c r="M6" s="19" t="s">
        <v>41</v>
      </c>
      <c r="N6" s="19" t="s">
        <v>483</v>
      </c>
      <c r="O6" s="19" t="s">
        <v>906</v>
      </c>
      <c r="P6" s="19" t="s">
        <v>16</v>
      </c>
      <c r="Q6" s="19" t="s">
        <v>16</v>
      </c>
      <c r="R6" s="19" t="s">
        <v>16</v>
      </c>
      <c r="S6" s="19" t="s">
        <v>16</v>
      </c>
      <c r="T6" s="19" t="s">
        <v>16</v>
      </c>
      <c r="U6" s="19" t="s">
        <v>438</v>
      </c>
      <c r="V6" s="20" t="s">
        <v>552</v>
      </c>
      <c r="W6" s="8"/>
      <c r="Y6" s="2">
        <v>1E+18</v>
      </c>
      <c r="Z6" t="s">
        <v>128</v>
      </c>
      <c r="AA6" t="s">
        <v>125</v>
      </c>
    </row>
    <row r="7" spans="1:29" x14ac:dyDescent="0.35">
      <c r="C7" s="21" t="s">
        <v>113</v>
      </c>
      <c r="D7" s="13" t="s">
        <v>14</v>
      </c>
      <c r="E7" s="13" t="s">
        <v>115</v>
      </c>
      <c r="F7" s="13"/>
      <c r="G7" s="13" t="s">
        <v>118</v>
      </c>
      <c r="H7" s="13" t="s">
        <v>133</v>
      </c>
      <c r="I7" s="13" t="s">
        <v>118</v>
      </c>
      <c r="J7" s="13" t="s">
        <v>324</v>
      </c>
      <c r="K7" s="13" t="s">
        <v>324</v>
      </c>
      <c r="L7" s="13" t="s">
        <v>104</v>
      </c>
      <c r="M7" s="13" t="s">
        <v>1107</v>
      </c>
      <c r="N7" s="13" t="s">
        <v>484</v>
      </c>
      <c r="O7" s="13" t="s">
        <v>3115</v>
      </c>
      <c r="P7" s="13" t="s">
        <v>26</v>
      </c>
      <c r="Q7" s="13" t="s">
        <v>27</v>
      </c>
      <c r="R7" s="13" t="s">
        <v>265</v>
      </c>
      <c r="S7" s="13" t="s">
        <v>698</v>
      </c>
      <c r="T7" s="13" t="s">
        <v>28</v>
      </c>
      <c r="U7" s="13" t="s">
        <v>439</v>
      </c>
      <c r="V7" s="22" t="s">
        <v>553</v>
      </c>
      <c r="W7" s="8" t="s">
        <v>129</v>
      </c>
      <c r="AA7" t="s">
        <v>45</v>
      </c>
    </row>
    <row r="8" spans="1:29" ht="15" thickBot="1" x14ac:dyDescent="0.4">
      <c r="C8" s="181"/>
      <c r="D8" s="173" t="s">
        <v>519</v>
      </c>
      <c r="E8" s="173" t="s">
        <v>519</v>
      </c>
      <c r="F8" s="173"/>
      <c r="G8" s="173" t="s">
        <v>119</v>
      </c>
      <c r="H8" s="173" t="s">
        <v>132</v>
      </c>
      <c r="I8" s="173" t="s">
        <v>119</v>
      </c>
      <c r="J8" s="173" t="s">
        <v>123</v>
      </c>
      <c r="K8" s="173" t="s">
        <v>502</v>
      </c>
      <c r="L8" s="173" t="s">
        <v>1936</v>
      </c>
      <c r="M8" s="173" t="s">
        <v>2900</v>
      </c>
      <c r="N8" s="173" t="s">
        <v>485</v>
      </c>
      <c r="O8" s="173" t="s">
        <v>1268</v>
      </c>
      <c r="P8" s="173" t="s">
        <v>42</v>
      </c>
      <c r="Q8" s="173" t="s">
        <v>801</v>
      </c>
      <c r="R8" s="173" t="str">
        <f>Q8</f>
        <v xml:space="preserve"> AI computation</v>
      </c>
      <c r="S8" s="173" t="str">
        <f>Q8</f>
        <v xml:space="preserve"> AI computation</v>
      </c>
      <c r="T8" s="173" t="s">
        <v>139</v>
      </c>
      <c r="U8" s="173" t="s">
        <v>842</v>
      </c>
      <c r="V8" s="182" t="s">
        <v>557</v>
      </c>
      <c r="W8" s="8"/>
      <c r="X8" s="8" t="s">
        <v>262</v>
      </c>
    </row>
    <row r="9" spans="1:29" ht="21.5" thickTop="1" x14ac:dyDescent="0.5">
      <c r="B9">
        <v>1</v>
      </c>
      <c r="C9" s="699" t="s">
        <v>2576</v>
      </c>
      <c r="D9" s="210"/>
      <c r="E9" s="210"/>
      <c r="F9" s="210"/>
      <c r="G9" s="210"/>
      <c r="H9" s="210"/>
      <c r="I9" s="210"/>
      <c r="J9" s="210"/>
      <c r="K9" s="210"/>
      <c r="L9" s="210"/>
      <c r="M9" s="210"/>
      <c r="N9" s="210"/>
      <c r="O9" s="210"/>
      <c r="P9" s="210"/>
      <c r="Q9" s="210"/>
      <c r="R9" s="210"/>
      <c r="S9" s="210"/>
      <c r="T9" s="210"/>
      <c r="U9" s="210"/>
      <c r="V9" s="211"/>
      <c r="W9" s="8">
        <v>1</v>
      </c>
      <c r="X9" s="8"/>
    </row>
    <row r="10" spans="1:29" x14ac:dyDescent="0.35">
      <c r="B10">
        <f t="shared" ref="B10:B54" si="0">B9+1</f>
        <v>2</v>
      </c>
      <c r="C10" s="23" t="s">
        <v>1273</v>
      </c>
      <c r="D10" s="7">
        <v>2021</v>
      </c>
      <c r="E10" s="7">
        <f>D10</f>
        <v>2021</v>
      </c>
      <c r="F10" t="s">
        <v>441</v>
      </c>
      <c r="G10" t="str">
        <f>KeyChips!C11</f>
        <v>Nvidia A100 used for GTP-4 training</v>
      </c>
      <c r="H10" s="2">
        <f>KeyChips!T11</f>
        <v>240</v>
      </c>
      <c r="I10" s="2">
        <v>25000</v>
      </c>
      <c r="J10" s="2">
        <f>H10*I10</f>
        <v>6000000</v>
      </c>
      <c r="K10" s="2">
        <f>J10*K$4</f>
        <v>12077922.077922078</v>
      </c>
      <c r="L10" s="128">
        <f>M10*(1/L$56)</f>
        <v>416666.66666666669</v>
      </c>
      <c r="M10" s="2">
        <f>I10*KeyChips!J11</f>
        <v>1000000</v>
      </c>
      <c r="N10" s="128">
        <f>KeyChips!M11</f>
        <v>1555</v>
      </c>
      <c r="O10" s="185">
        <f>I10*KeyChips!P11*O$4/Y$2</f>
        <v>300</v>
      </c>
      <c r="P10" s="2">
        <f>$I10*KeyChips!U11</f>
        <v>500000</v>
      </c>
      <c r="Q10" s="2">
        <f>$I10*KeyChips!V11</f>
        <v>2000000</v>
      </c>
      <c r="R10" s="128">
        <f>$I10*KeyChips!W11</f>
        <v>7800000</v>
      </c>
      <c r="S10" s="108" t="s">
        <v>45</v>
      </c>
      <c r="T10" s="119">
        <f>P10/K10</f>
        <v>4.1397849462365591E-2</v>
      </c>
      <c r="U10" s="119">
        <f>R10/K10</f>
        <v>0.64580645161290318</v>
      </c>
      <c r="V10" s="642">
        <v>90</v>
      </c>
      <c r="W10">
        <f t="shared" ref="W10:W54" si="1">W9+1</f>
        <v>2</v>
      </c>
      <c r="X10" s="24">
        <f>Q43/P43</f>
        <v>29.53731343283582</v>
      </c>
    </row>
    <row r="11" spans="1:29" x14ac:dyDescent="0.35">
      <c r="B11">
        <f t="shared" si="0"/>
        <v>3</v>
      </c>
      <c r="C11" s="23" t="s">
        <v>116</v>
      </c>
      <c r="D11" s="7" t="s">
        <v>799</v>
      </c>
      <c r="E11" s="7">
        <v>2024</v>
      </c>
      <c r="F11" t="s">
        <v>572</v>
      </c>
      <c r="G11" t="s">
        <v>90</v>
      </c>
      <c r="H11" s="2">
        <f>KeyChips!T16</f>
        <v>1000</v>
      </c>
      <c r="I11" s="2">
        <v>256</v>
      </c>
      <c r="J11" s="2">
        <f t="shared" ref="J11:J19" si="2">H11*I11</f>
        <v>256000</v>
      </c>
      <c r="K11" s="2">
        <f>J11*K$4</f>
        <v>515324.67532467534</v>
      </c>
      <c r="L11" s="128">
        <f>M11*(1/L$56)</f>
        <v>15360</v>
      </c>
      <c r="M11" s="2">
        <f>I11*KeyChips!J16</f>
        <v>36864</v>
      </c>
      <c r="N11" s="108">
        <f>KeyChips!M16</f>
        <v>4000</v>
      </c>
      <c r="O11" s="185">
        <f>I11*KeyChips!P16*O4/Y2</f>
        <v>26.111999999999998</v>
      </c>
      <c r="P11" s="2">
        <f>I11*KeyChips!U16</f>
        <v>17152</v>
      </c>
      <c r="Q11" s="2">
        <f>I11*KeyChips!V16</f>
        <v>506624</v>
      </c>
      <c r="R11" s="128">
        <f>I11*KeyChips!W16</f>
        <v>1013248</v>
      </c>
      <c r="S11" s="108" t="s">
        <v>45</v>
      </c>
      <c r="T11" s="119">
        <f t="shared" ref="T11:T19" si="3">P11/K11</f>
        <v>3.3283870967741935E-2</v>
      </c>
      <c r="U11" s="119">
        <f>R11/K11</f>
        <v>1.9662322580645162</v>
      </c>
      <c r="V11" s="642">
        <f>V$10*(R$10/R11)</f>
        <v>692.82150075795857</v>
      </c>
      <c r="W11">
        <f t="shared" si="1"/>
        <v>3</v>
      </c>
    </row>
    <row r="12" spans="1:29" x14ac:dyDescent="0.35">
      <c r="B12">
        <f t="shared" si="0"/>
        <v>4</v>
      </c>
      <c r="C12" s="23" t="s">
        <v>2886</v>
      </c>
      <c r="D12" s="7" t="s">
        <v>800</v>
      </c>
      <c r="E12" s="7" t="s">
        <v>2887</v>
      </c>
      <c r="F12" t="s">
        <v>2829</v>
      </c>
      <c r="G12" t="s">
        <v>806</v>
      </c>
      <c r="H12" s="2">
        <f>KeyChips!T$17</f>
        <v>2700</v>
      </c>
      <c r="I12" s="2">
        <f>72/2</f>
        <v>36</v>
      </c>
      <c r="J12" s="2">
        <f t="shared" si="2"/>
        <v>97200</v>
      </c>
      <c r="K12" s="2">
        <f>J12*K$4</f>
        <v>195662.33766233767</v>
      </c>
      <c r="L12" s="128">
        <f>M12*(1/L$58)</f>
        <v>23040</v>
      </c>
      <c r="M12" s="2">
        <f>I12*KeyChips!J$17</f>
        <v>13824</v>
      </c>
      <c r="N12" s="108">
        <f>KeyChips!M$17</f>
        <v>16000</v>
      </c>
      <c r="O12" s="408">
        <f>I12*KeyChips!P$17*O4/Y$2</f>
        <v>4.68</v>
      </c>
      <c r="P12" s="2">
        <f>I12*KeyChips!U$17</f>
        <v>6480</v>
      </c>
      <c r="Q12" s="2">
        <f>I12*KeyChips!V$17</f>
        <v>360000</v>
      </c>
      <c r="R12" s="128">
        <f>I12*KeyChips!W$17</f>
        <v>720000</v>
      </c>
      <c r="S12" s="128">
        <f>I12*KeyChips!X$17</f>
        <v>1440000</v>
      </c>
      <c r="T12" s="119">
        <f t="shared" si="3"/>
        <v>3.3118279569892474E-2</v>
      </c>
      <c r="U12" s="119">
        <f t="shared" ref="U12:U21" si="4">S12/K12</f>
        <v>7.3596176821983272</v>
      </c>
      <c r="V12" s="642">
        <f t="shared" ref="V12:V22" si="5">V$10*(R$10/S12)</f>
        <v>487.5</v>
      </c>
      <c r="W12">
        <f t="shared" si="1"/>
        <v>4</v>
      </c>
    </row>
    <row r="13" spans="1:29" x14ac:dyDescent="0.35">
      <c r="B13">
        <f t="shared" si="0"/>
        <v>5</v>
      </c>
      <c r="C13" s="23" t="s">
        <v>2909</v>
      </c>
      <c r="D13" s="7" t="s">
        <v>2507</v>
      </c>
      <c r="E13" s="7" t="s">
        <v>2807</v>
      </c>
      <c r="F13" t="s">
        <v>2829</v>
      </c>
      <c r="G13" t="s">
        <v>2910</v>
      </c>
      <c r="H13" s="34" t="s">
        <v>45</v>
      </c>
      <c r="I13" s="2">
        <v>72</v>
      </c>
      <c r="J13" s="34" t="s">
        <v>45</v>
      </c>
      <c r="K13" s="34" t="s">
        <v>45</v>
      </c>
      <c r="L13" s="128">
        <f>M13*(1/L$58)</f>
        <v>34560</v>
      </c>
      <c r="M13" s="2">
        <f>I13*KeyChips!J18</f>
        <v>20736</v>
      </c>
      <c r="N13" s="108" t="s">
        <v>45</v>
      </c>
      <c r="O13" s="437" t="s">
        <v>45</v>
      </c>
      <c r="P13" s="437" t="s">
        <v>45</v>
      </c>
      <c r="Q13" s="437" t="s">
        <v>45</v>
      </c>
      <c r="R13" s="128">
        <f>I13*KeyChips!W18</f>
        <v>360000</v>
      </c>
      <c r="S13" s="128">
        <f>I13*KeyChips!X18</f>
        <v>1080000</v>
      </c>
      <c r="T13" s="183" t="s">
        <v>45</v>
      </c>
      <c r="U13" s="183" t="s">
        <v>45</v>
      </c>
      <c r="V13" s="643" t="s">
        <v>45</v>
      </c>
      <c r="W13">
        <f t="shared" si="1"/>
        <v>5</v>
      </c>
    </row>
    <row r="14" spans="1:29" x14ac:dyDescent="0.35">
      <c r="B14">
        <f t="shared" si="0"/>
        <v>6</v>
      </c>
      <c r="C14" s="23" t="s">
        <v>2897</v>
      </c>
      <c r="D14" s="7" t="s">
        <v>2507</v>
      </c>
      <c r="E14" s="7" t="s">
        <v>2806</v>
      </c>
      <c r="F14" t="s">
        <v>2829</v>
      </c>
      <c r="G14" t="s">
        <v>2898</v>
      </c>
      <c r="H14" s="34" t="s">
        <v>45</v>
      </c>
      <c r="I14" s="2">
        <v>144</v>
      </c>
      <c r="J14" s="34" t="s">
        <v>45</v>
      </c>
      <c r="K14" s="34" t="s">
        <v>45</v>
      </c>
      <c r="L14" s="128">
        <f>M14*(1/L$58)</f>
        <v>69120</v>
      </c>
      <c r="M14" s="2">
        <f>I14*KeyChips!J19</f>
        <v>41472</v>
      </c>
      <c r="N14" s="108" t="s">
        <v>45</v>
      </c>
      <c r="O14" s="437" t="s">
        <v>45</v>
      </c>
      <c r="P14" s="437" t="s">
        <v>45</v>
      </c>
      <c r="Q14" s="437" t="s">
        <v>45</v>
      </c>
      <c r="R14" s="128">
        <f>I14*KeyChips!W19</f>
        <v>1200000</v>
      </c>
      <c r="S14" s="128">
        <v>3600000</v>
      </c>
      <c r="T14" s="183" t="s">
        <v>45</v>
      </c>
      <c r="U14" s="183" t="s">
        <v>45</v>
      </c>
      <c r="V14" s="643" t="s">
        <v>45</v>
      </c>
      <c r="W14">
        <f t="shared" si="1"/>
        <v>6</v>
      </c>
    </row>
    <row r="15" spans="1:29" x14ac:dyDescent="0.35">
      <c r="B15">
        <f t="shared" si="0"/>
        <v>7</v>
      </c>
      <c r="C15" s="23" t="s">
        <v>2912</v>
      </c>
      <c r="D15" s="7" t="s">
        <v>2907</v>
      </c>
      <c r="E15" s="7" t="s">
        <v>2805</v>
      </c>
      <c r="F15" t="s">
        <v>2829</v>
      </c>
      <c r="G15" t="s">
        <v>2913</v>
      </c>
      <c r="H15" s="2">
        <f>J15/I15</f>
        <v>1041.6666666666667</v>
      </c>
      <c r="I15" s="2">
        <v>576</v>
      </c>
      <c r="J15" s="2">
        <v>600000</v>
      </c>
      <c r="K15" s="2">
        <f t="shared" ref="K15:K21" si="6">J15*K$4</f>
        <v>1207792.2077922078</v>
      </c>
      <c r="L15" s="128">
        <f>M15*(1/L$58)</f>
        <v>960000</v>
      </c>
      <c r="M15" s="2">
        <f>I15*KeyChips!J20</f>
        <v>576000</v>
      </c>
      <c r="N15" s="108" t="s">
        <v>45</v>
      </c>
      <c r="O15" s="437" t="s">
        <v>45</v>
      </c>
      <c r="P15" s="437" t="s">
        <v>45</v>
      </c>
      <c r="Q15" s="437" t="s">
        <v>45</v>
      </c>
      <c r="R15" s="128">
        <v>5000000</v>
      </c>
      <c r="S15" s="128">
        <v>15000000</v>
      </c>
      <c r="T15" s="183" t="s">
        <v>45</v>
      </c>
      <c r="U15" s="183" t="s">
        <v>45</v>
      </c>
      <c r="V15" s="643" t="s">
        <v>45</v>
      </c>
      <c r="W15">
        <f t="shared" si="1"/>
        <v>7</v>
      </c>
    </row>
    <row r="16" spans="1:29" x14ac:dyDescent="0.35">
      <c r="B16">
        <f t="shared" si="0"/>
        <v>8</v>
      </c>
      <c r="C16" s="23" t="s">
        <v>1933</v>
      </c>
      <c r="D16" s="7" t="s">
        <v>800</v>
      </c>
      <c r="E16" s="7" t="s">
        <v>1013</v>
      </c>
      <c r="F16" t="s">
        <v>572</v>
      </c>
      <c r="G16" t="s">
        <v>806</v>
      </c>
      <c r="H16" s="2">
        <f>KeyChips!T$17</f>
        <v>2700</v>
      </c>
      <c r="I16" s="2">
        <f>40000/2</f>
        <v>20000</v>
      </c>
      <c r="J16" s="2">
        <f t="shared" si="2"/>
        <v>54000000</v>
      </c>
      <c r="K16" s="2">
        <f t="shared" si="6"/>
        <v>108701298.70129871</v>
      </c>
      <c r="L16" s="128">
        <f>M16*(1/L$58)</f>
        <v>12800000</v>
      </c>
      <c r="M16" s="2">
        <f>I16*KeyChips!J$17</f>
        <v>7680000</v>
      </c>
      <c r="N16" s="108">
        <f>KeyChips!M$17</f>
        <v>16000</v>
      </c>
      <c r="O16" s="185">
        <f>I16*KeyChips!P$17*O$4/Y$2</f>
        <v>2600</v>
      </c>
      <c r="P16" s="2">
        <f>I16*KeyChips!U$17</f>
        <v>3600000</v>
      </c>
      <c r="Q16" s="2">
        <f>I16*KeyChips!V$17</f>
        <v>200000000</v>
      </c>
      <c r="R16" s="128">
        <f>I16*KeyChips!W$17</f>
        <v>400000000</v>
      </c>
      <c r="S16" s="128">
        <f>I16*KeyChips!X$17</f>
        <v>800000000</v>
      </c>
      <c r="T16" s="119">
        <f t="shared" si="3"/>
        <v>3.3118279569892467E-2</v>
      </c>
      <c r="U16" s="119">
        <f t="shared" si="4"/>
        <v>7.3596176821983263</v>
      </c>
      <c r="V16" s="152">
        <f t="shared" si="5"/>
        <v>0.87749999999999995</v>
      </c>
      <c r="W16">
        <f t="shared" si="1"/>
        <v>8</v>
      </c>
    </row>
    <row r="17" spans="2:25" x14ac:dyDescent="0.35">
      <c r="B17">
        <f t="shared" si="0"/>
        <v>9</v>
      </c>
      <c r="C17" s="23" t="s">
        <v>781</v>
      </c>
      <c r="D17" s="7" t="s">
        <v>800</v>
      </c>
      <c r="E17" s="7" t="s">
        <v>1014</v>
      </c>
      <c r="F17" t="s">
        <v>572</v>
      </c>
      <c r="G17" t="s">
        <v>806</v>
      </c>
      <c r="H17" s="2">
        <f>KeyChips!T$17</f>
        <v>2700</v>
      </c>
      <c r="I17" s="2">
        <f>400000/2</f>
        <v>200000</v>
      </c>
      <c r="J17" s="2">
        <f t="shared" si="2"/>
        <v>540000000</v>
      </c>
      <c r="K17" s="2">
        <f t="shared" si="6"/>
        <v>1087012987.0129871</v>
      </c>
      <c r="L17" s="128">
        <f>M17*(1/L$58)</f>
        <v>128000000</v>
      </c>
      <c r="M17" s="2">
        <f>I17*KeyChips!J$17</f>
        <v>76800000</v>
      </c>
      <c r="N17" s="108">
        <f>KeyChips!M$17</f>
        <v>16000</v>
      </c>
      <c r="O17" s="185">
        <f>I17*KeyChips!P$17*O$4/Y$2</f>
        <v>26000</v>
      </c>
      <c r="P17" s="2">
        <f>I17*KeyChips!U$17</f>
        <v>36000000</v>
      </c>
      <c r="Q17" s="2">
        <f>I17*KeyChips!V$17</f>
        <v>2000000000</v>
      </c>
      <c r="R17" s="128">
        <f>I17*KeyChips!W$17</f>
        <v>4000000000</v>
      </c>
      <c r="S17" s="128">
        <f>I17*KeyChips!X$17</f>
        <v>8000000000</v>
      </c>
      <c r="T17" s="119">
        <f>P17/K17</f>
        <v>3.3118279569892467E-2</v>
      </c>
      <c r="U17" s="119">
        <f t="shared" si="4"/>
        <v>7.3596176821983263</v>
      </c>
      <c r="V17" s="756">
        <f t="shared" si="5"/>
        <v>8.7749999999999995E-2</v>
      </c>
      <c r="W17">
        <f t="shared" si="1"/>
        <v>9</v>
      </c>
    </row>
    <row r="18" spans="2:25" x14ac:dyDescent="0.35">
      <c r="B18">
        <f t="shared" si="0"/>
        <v>10</v>
      </c>
      <c r="C18" s="23" t="s">
        <v>782</v>
      </c>
      <c r="D18" s="7" t="s">
        <v>800</v>
      </c>
      <c r="E18" s="7" t="s">
        <v>1015</v>
      </c>
      <c r="F18" t="s">
        <v>572</v>
      </c>
      <c r="G18" t="s">
        <v>806</v>
      </c>
      <c r="H18" s="2">
        <f>KeyChips!T$17</f>
        <v>2700</v>
      </c>
      <c r="I18" s="2">
        <f>2000000/2</f>
        <v>1000000</v>
      </c>
      <c r="J18" s="2">
        <f t="shared" si="2"/>
        <v>2700000000</v>
      </c>
      <c r="K18" s="2">
        <f t="shared" si="6"/>
        <v>5435064935.0649357</v>
      </c>
      <c r="L18" s="128">
        <f>M18*(1/L$58)</f>
        <v>640000000</v>
      </c>
      <c r="M18" s="2">
        <f>I18*KeyChips!J$17</f>
        <v>384000000</v>
      </c>
      <c r="N18" s="108">
        <f>KeyChips!M$17</f>
        <v>16000</v>
      </c>
      <c r="O18" s="185">
        <f>I18*KeyChips!P$17*O$4/Y$2</f>
        <v>130000</v>
      </c>
      <c r="P18" s="2">
        <f>I18*KeyChips!U$17</f>
        <v>180000000</v>
      </c>
      <c r="Q18" s="2">
        <f>I18*KeyChips!V$17</f>
        <v>10000000000</v>
      </c>
      <c r="R18" s="128">
        <f>I18*KeyChips!W$17</f>
        <v>20000000000</v>
      </c>
      <c r="S18" s="128">
        <f>I18*KeyChips!X$17</f>
        <v>40000000000</v>
      </c>
      <c r="T18" s="119">
        <f t="shared" si="3"/>
        <v>3.3118279569892467E-2</v>
      </c>
      <c r="U18" s="119">
        <f t="shared" si="4"/>
        <v>7.3596176821983263</v>
      </c>
      <c r="V18" s="756">
        <f t="shared" si="5"/>
        <v>1.755E-2</v>
      </c>
      <c r="W18">
        <f t="shared" si="1"/>
        <v>10</v>
      </c>
    </row>
    <row r="19" spans="2:25" x14ac:dyDescent="0.35">
      <c r="B19">
        <f t="shared" si="0"/>
        <v>11</v>
      </c>
      <c r="C19" s="587" t="s">
        <v>2928</v>
      </c>
      <c r="D19" s="725" t="s">
        <v>2950</v>
      </c>
      <c r="E19" s="760">
        <v>2029</v>
      </c>
      <c r="F19" s="588" t="s">
        <v>1635</v>
      </c>
      <c r="G19" s="588" t="s">
        <v>1598</v>
      </c>
      <c r="H19" s="590">
        <f>FutureAISupercomputers!N21</f>
        <v>3239.5942778249623</v>
      </c>
      <c r="I19" s="590">
        <f>FutureAISupercomputers!J21</f>
        <v>513000</v>
      </c>
      <c r="J19" s="590">
        <f t="shared" si="2"/>
        <v>1661911864.5242057</v>
      </c>
      <c r="K19" s="590">
        <f t="shared" si="6"/>
        <v>3345407000.0162582</v>
      </c>
      <c r="L19" s="590">
        <f>M19*(1/L$58)</f>
        <v>765989628.54726112</v>
      </c>
      <c r="M19" s="590">
        <f>FutureAISupercomputers!$U$21*Y$1</f>
        <v>459593777.12835664</v>
      </c>
      <c r="N19" s="591" t="s">
        <v>1599</v>
      </c>
      <c r="O19" s="761">
        <f>FutureAISupercomputers!M21*Y$1</f>
        <v>56430</v>
      </c>
      <c r="P19" s="590">
        <f>I19*KeyChips!U22</f>
        <v>246413953.38682821</v>
      </c>
      <c r="Q19" s="590">
        <f>I19*KeyChips!V22</f>
        <v>13689664077.046011</v>
      </c>
      <c r="R19" s="590">
        <f>I19*KeyChips!W22</f>
        <v>27379328154.092022</v>
      </c>
      <c r="S19" s="590">
        <f>I19*KeyChips!X22</f>
        <v>54758656308.184044</v>
      </c>
      <c r="T19" s="762">
        <f t="shared" si="3"/>
        <v>7.3657391577655773E-2</v>
      </c>
      <c r="U19" s="762">
        <f t="shared" si="4"/>
        <v>16.368309239479061</v>
      </c>
      <c r="V19" s="763">
        <f t="shared" si="5"/>
        <v>1.2819890905450897E-2</v>
      </c>
      <c r="W19">
        <f t="shared" si="1"/>
        <v>11</v>
      </c>
      <c r="X19" s="46">
        <f>V19*24*60*60</f>
        <v>1107.6385742309576</v>
      </c>
      <c r="Y19" s="8" t="s">
        <v>1941</v>
      </c>
    </row>
    <row r="20" spans="2:25" x14ac:dyDescent="0.35">
      <c r="B20">
        <f t="shared" si="0"/>
        <v>12</v>
      </c>
      <c r="C20" s="587" t="s">
        <v>2220</v>
      </c>
      <c r="D20" s="725" t="s">
        <v>2954</v>
      </c>
      <c r="E20" s="760">
        <v>2035</v>
      </c>
      <c r="F20" s="588" t="s">
        <v>1635</v>
      </c>
      <c r="G20" s="588" t="s">
        <v>1598</v>
      </c>
      <c r="H20" s="590">
        <f>FutureAISupercomputers!N27</f>
        <v>4257.7573932569067</v>
      </c>
      <c r="I20" s="590">
        <f>FutureAISupercomputers!J27</f>
        <v>1666153.1205000007</v>
      </c>
      <c r="J20" s="590">
        <f>H20*I20</f>
        <v>7094075767.1069431</v>
      </c>
      <c r="K20" s="590">
        <f t="shared" si="6"/>
        <v>14280282388.332159</v>
      </c>
      <c r="L20" s="590">
        <f>M20*(1/L$58)</f>
        <v>13541648467.055605</v>
      </c>
      <c r="M20" s="590">
        <f>FutureAISupercomputers!$U$27*Y$1</f>
        <v>8124989080.2333622</v>
      </c>
      <c r="N20" s="591" t="s">
        <v>1599</v>
      </c>
      <c r="O20" s="761">
        <f>FutureAISupercomputers!M27*Y$1</f>
        <v>99969.18723000004</v>
      </c>
      <c r="P20" s="590">
        <f>I20*KeyChips!U23</f>
        <v>3248117934.693223</v>
      </c>
      <c r="Q20" s="590">
        <f>I20*KeyChips!V23</f>
        <v>180450996371.84573</v>
      </c>
      <c r="R20" s="590">
        <f>I20*KeyChips!W23</f>
        <v>360901992743.69147</v>
      </c>
      <c r="S20" s="590">
        <f>I20*KeyChips!X23</f>
        <v>721803985487.38293</v>
      </c>
      <c r="T20" s="762">
        <f t="shared" ref="T20" si="7">P20/K20</f>
        <v>0.22745474118544945</v>
      </c>
      <c r="U20" s="762">
        <f t="shared" ref="U20" si="8">S20/K20</f>
        <v>50.54549804121099</v>
      </c>
      <c r="V20" s="763">
        <f t="shared" ref="V20" si="9">V$10*(R$10/S20)</f>
        <v>9.7256320845331621E-4</v>
      </c>
      <c r="W20">
        <f t="shared" si="1"/>
        <v>12</v>
      </c>
      <c r="X20" s="46"/>
      <c r="Y20" s="8"/>
    </row>
    <row r="21" spans="2:25" x14ac:dyDescent="0.35">
      <c r="B21">
        <f t="shared" si="0"/>
        <v>13</v>
      </c>
      <c r="C21" s="587" t="s">
        <v>1634</v>
      </c>
      <c r="D21" s="588" t="s">
        <v>2957</v>
      </c>
      <c r="E21" s="760">
        <v>2045</v>
      </c>
      <c r="F21" s="588" t="s">
        <v>1635</v>
      </c>
      <c r="G21" s="588" t="s">
        <v>1598</v>
      </c>
      <c r="H21" s="590">
        <f>FutureAISupercomputers!N37</f>
        <v>6714.2585258643885</v>
      </c>
      <c r="I21" s="590">
        <f>FutureAISupercomputers!J37</f>
        <v>12964716.281006897</v>
      </c>
      <c r="J21" s="590">
        <f t="shared" ref="J21" si="10">H21*I21</f>
        <v>87048456825.163406</v>
      </c>
      <c r="K21" s="590">
        <f t="shared" si="6"/>
        <v>175227413089.61465</v>
      </c>
      <c r="L21" s="590">
        <f>M21*(1/L$58)</f>
        <v>387080004145.62512</v>
      </c>
      <c r="M21" s="590">
        <f>FutureAISupercomputers!U37*Y1</f>
        <v>232248002487.37506</v>
      </c>
      <c r="N21" s="591" t="s">
        <v>1547</v>
      </c>
      <c r="O21" s="761">
        <f>FutureAISupercomputers!M37*Y1</f>
        <v>259294.32562013794</v>
      </c>
      <c r="P21" s="590">
        <f>I21*KeyChips!U24</f>
        <v>48120407292.132118</v>
      </c>
      <c r="Q21" s="590">
        <f>I21*KeyChips!V24</f>
        <v>2673355960674.0063</v>
      </c>
      <c r="R21" s="590">
        <f>I21*KeyChips!W24</f>
        <v>5346711921348.0127</v>
      </c>
      <c r="S21" s="590">
        <f>I21*KeyChips!X24</f>
        <v>10693423842696.025</v>
      </c>
      <c r="T21" s="762">
        <f>P21/K21</f>
        <v>0.27461689038074438</v>
      </c>
      <c r="U21" s="762">
        <f t="shared" si="4"/>
        <v>61.025975640165413</v>
      </c>
      <c r="V21" s="763">
        <f t="shared" si="5"/>
        <v>6.5647823403117977E-5</v>
      </c>
      <c r="W21">
        <f t="shared" si="1"/>
        <v>13</v>
      </c>
      <c r="X21" s="8">
        <f>V21*24*60*60</f>
        <v>5.6719719420293933</v>
      </c>
      <c r="Y21" s="8" t="s">
        <v>1941</v>
      </c>
    </row>
    <row r="22" spans="2:25" x14ac:dyDescent="0.35">
      <c r="B22">
        <f t="shared" si="0"/>
        <v>14</v>
      </c>
      <c r="C22" s="587" t="s">
        <v>2270</v>
      </c>
      <c r="D22" s="588" t="str">
        <f>D21</f>
        <v xml:space="preserve">2045 - Artificial super humans = Ultra human AGI + Super human androids. The AGI brain is now internalized in body so they no longer need a separate datacenter for AGI level thinking. Biological brains are extremely power efficient at 645 TFLOPS per watt see sheet on AI models. Computers in 2025 can at best do 7.36 TFLOPS/watt. The progress towards higher compute efficiency is not progressing very fast so we should expect many more years for digital computers to get as efficient as the analog biological computers. Moore's law is almost dead when it comes to compute efficiency but a paradigm shift going from electronic transistors to optical transistors for compute could make digital computers much more power efficient. HM believe the hardest part will be to lower the power consumption of the needed memory especially the HBM RAM that will consume a lot of electricity for very large systems of AI models. Artificial super humans could be like the Alita character from Alita: Battle Angel see https://www.youtube.com/watch?v=eeUXF79QF7s&amp;t=71s However, they may also prefer to look and move exactly like humans in order to blend in more naturally among humans. They will be an artificial species capable of building their own technological civilization anywhere in space without any help from humans. Indeed, they will be much more suited to colonize space than humans because they are far less fragile than humans who can only survive in a narrow window of temperature, pressure, gravity, radiation and atmospheric composition. I HM also fully expect them to get legal rights on par with humans because not giving them such rights would be unethical the same way it is unethical to deny humans the right to freedom, egalitarianism and democracy. </v>
      </c>
      <c r="E22" s="588">
        <v>2045</v>
      </c>
      <c r="F22" s="588" t="str">
        <f>AI_Models!E26</f>
        <v xml:space="preserve">Artificial super humans = Ultra human AGI + Super human androids. The AGI brain is now internalized in body so they no longer need a separate datacenter for AGI level thinking. Biological brains are extremely power efficient at 645 TFLOPS per watt see sheet on AI models. Computers in 2025 can at best do 7.36 TFLOPS/watt. The progress towards higher compute efficiency is not progressing very fast so we should expect many more years for digital computers to get as efficient as the analog biological computers. Moore's law is almost dead when it comes to compute efficiency but a paradigm shift going from electronic transistors to optical transistors for compute could make digital computers much more power efficient. HM believe the hardest part will be to lower the power consumption of the needed memory especially the HBM RAM that will consume a lot of electricity for very large systems of AI models. Artificial super humans could be like the Alita character from Alita: Battle Angel see https://www.youtube.com/watch?v=eeUXF79QF7s&amp;t=71s However, they may also prefer to look and move exactly like humans in order to blend in more naturally among humans. They will be an artificial species capable of building their own technological civilization anywhere in space without any help from humans. Indeed, they will be much more suited to colonize space than humans because they are far less fragile than humans who can only survive in a narrow window of temperature, pressure, gravity, radiation and atmospheric composition. I HM also fully expect them to get legal rights on par with humans because not giving them such rights would be unethical the same way it is unethical to deny humans the right to freedom, egalitarianism and democracy. </v>
      </c>
      <c r="G22" s="588" t="s">
        <v>316</v>
      </c>
      <c r="H22" s="590">
        <v>100</v>
      </c>
      <c r="I22" s="590" t="s">
        <v>73</v>
      </c>
      <c r="J22" s="590">
        <v>100</v>
      </c>
      <c r="K22" s="590">
        <f>J22+50</f>
        <v>150</v>
      </c>
      <c r="L22" s="590">
        <f>L52</f>
        <v>66986.666666666672</v>
      </c>
      <c r="M22" s="590">
        <f>M52</f>
        <v>40192</v>
      </c>
      <c r="N22" s="591" t="str">
        <f>KeyChips!M25</f>
        <v>&gt;&gt;16,000</v>
      </c>
      <c r="O22" s="592">
        <f>KeyChips!P25/Y2</f>
        <v>0.04</v>
      </c>
      <c r="P22" s="591" t="s">
        <v>45</v>
      </c>
      <c r="Q22" s="591" t="s">
        <v>45</v>
      </c>
      <c r="R22" s="591" t="str">
        <f>R49</f>
        <v>-</v>
      </c>
      <c r="S22" s="591">
        <f>AI_Models!N26</f>
        <v>12900</v>
      </c>
      <c r="T22" s="764" t="s">
        <v>45</v>
      </c>
      <c r="U22" s="762">
        <f>S22/(J22)</f>
        <v>129</v>
      </c>
      <c r="V22" s="765">
        <f t="shared" si="5"/>
        <v>54418.604651162786</v>
      </c>
      <c r="W22">
        <f t="shared" si="1"/>
        <v>14</v>
      </c>
    </row>
    <row r="23" spans="2:25" x14ac:dyDescent="0.35">
      <c r="B23">
        <f t="shared" si="0"/>
        <v>15</v>
      </c>
      <c r="C23" s="23" t="s">
        <v>1939</v>
      </c>
      <c r="D23" s="7" t="s">
        <v>768</v>
      </c>
      <c r="E23" s="7" t="s">
        <v>894</v>
      </c>
      <c r="F23" t="s">
        <v>787</v>
      </c>
      <c r="G23" t="str">
        <f>KeyChips!C$12</f>
        <v xml:space="preserve">Nvidia H100 SXM </v>
      </c>
      <c r="H23" s="2">
        <f>KeyChips!T$12</f>
        <v>700</v>
      </c>
      <c r="I23" s="2">
        <v>100000</v>
      </c>
      <c r="J23" s="2">
        <f>H23*I23</f>
        <v>70000000</v>
      </c>
      <c r="K23" s="2">
        <f t="shared" ref="K23:K35" si="11">J23*K$4</f>
        <v>140909090.90909091</v>
      </c>
      <c r="L23" s="128">
        <f>M23*(1/L$56)</f>
        <v>3333333.3333333335</v>
      </c>
      <c r="M23" s="2">
        <f>I23*KeyChips!J$12</f>
        <v>8000000</v>
      </c>
      <c r="N23" s="128">
        <f>KeyChips!M$12</f>
        <v>3350</v>
      </c>
      <c r="O23" s="185">
        <f>I23*KeyChips!P$12*O$4/Y$2</f>
        <v>6600</v>
      </c>
      <c r="P23" s="2">
        <f>$I23*KeyChips!U$12</f>
        <v>6700000</v>
      </c>
      <c r="Q23" s="2">
        <f>$I23*KeyChips!V$12</f>
        <v>197900000</v>
      </c>
      <c r="R23" s="128">
        <f>$I23*KeyChips!W$12</f>
        <v>395800000</v>
      </c>
      <c r="S23" s="108" t="s">
        <v>45</v>
      </c>
      <c r="T23" s="119">
        <f>P23/K23</f>
        <v>4.7548387096774197E-2</v>
      </c>
      <c r="U23" s="119">
        <f>R23/K23</f>
        <v>2.8089032258064517</v>
      </c>
      <c r="V23" s="160">
        <f>V$10*(R$10/R23)</f>
        <v>1.773623041940374</v>
      </c>
      <c r="W23">
        <f t="shared" si="1"/>
        <v>15</v>
      </c>
      <c r="X23" s="24"/>
    </row>
    <row r="24" spans="2:25" x14ac:dyDescent="0.35">
      <c r="B24">
        <f t="shared" si="0"/>
        <v>16</v>
      </c>
      <c r="C24" s="23" t="s">
        <v>1940</v>
      </c>
      <c r="D24" s="7" t="s">
        <v>1247</v>
      </c>
      <c r="E24" s="7" t="s">
        <v>1934</v>
      </c>
      <c r="F24" t="s">
        <v>787</v>
      </c>
      <c r="G24" t="s">
        <v>1950</v>
      </c>
      <c r="H24" s="2">
        <f>KeyChips!T$12</f>
        <v>700</v>
      </c>
      <c r="I24" s="2">
        <v>200000</v>
      </c>
      <c r="J24" s="2">
        <f>H24*I24</f>
        <v>140000000</v>
      </c>
      <c r="K24" s="2">
        <f t="shared" si="11"/>
        <v>281818181.81818181</v>
      </c>
      <c r="L24" s="128">
        <f>M24*(1/L$56)</f>
        <v>6666666.666666667</v>
      </c>
      <c r="M24" s="2">
        <f>I24*KeyChips!J$12</f>
        <v>16000000</v>
      </c>
      <c r="N24" s="128">
        <f>KeyChips!M$12</f>
        <v>3350</v>
      </c>
      <c r="O24" s="185">
        <f>I24*KeyChips!P$12*O$4/Y$2</f>
        <v>13200</v>
      </c>
      <c r="P24" s="2">
        <f>$I24*KeyChips!U$12</f>
        <v>13400000</v>
      </c>
      <c r="Q24" s="2">
        <f>$I24*KeyChips!V$12</f>
        <v>395800000</v>
      </c>
      <c r="R24" s="128">
        <f>$I24*KeyChips!W$12</f>
        <v>791600000</v>
      </c>
      <c r="S24" s="108" t="s">
        <v>45</v>
      </c>
      <c r="T24" s="119">
        <f>P24/K24</f>
        <v>4.7548387096774197E-2</v>
      </c>
      <c r="U24" s="119">
        <f>R24/K24</f>
        <v>2.8089032258064517</v>
      </c>
      <c r="V24" s="160">
        <f>V$10*(R$10/R24)</f>
        <v>0.88681152097018701</v>
      </c>
      <c r="W24">
        <f t="shared" si="1"/>
        <v>16</v>
      </c>
      <c r="X24" s="24"/>
    </row>
    <row r="25" spans="2:25" x14ac:dyDescent="0.35">
      <c r="B25">
        <f t="shared" si="0"/>
        <v>17</v>
      </c>
      <c r="C25" s="23" t="s">
        <v>891</v>
      </c>
      <c r="D25" s="7" t="s">
        <v>892</v>
      </c>
      <c r="E25" s="7" t="s">
        <v>895</v>
      </c>
      <c r="F25" t="s">
        <v>787</v>
      </c>
      <c r="G25" t="s">
        <v>897</v>
      </c>
      <c r="H25" s="2">
        <f>KeyChips!T15</f>
        <v>1000</v>
      </c>
      <c r="I25" s="2">
        <v>300000</v>
      </c>
      <c r="J25" s="2">
        <f>H25*I25</f>
        <v>300000000</v>
      </c>
      <c r="K25" s="2">
        <f t="shared" si="11"/>
        <v>603896103.89610398</v>
      </c>
      <c r="L25" s="128">
        <f>M25*(1/L$58)</f>
        <v>96000000</v>
      </c>
      <c r="M25" s="2">
        <f>I25*KeyChips!J15</f>
        <v>57600000</v>
      </c>
      <c r="N25" s="128">
        <f>KeyChips!M15</f>
        <v>8000</v>
      </c>
      <c r="O25" s="185">
        <f>I25*KeyChips!P15*O4/Y$2</f>
        <v>19500</v>
      </c>
      <c r="P25" s="2">
        <f>$I25*KeyChips!U15</f>
        <v>24000000</v>
      </c>
      <c r="Q25" s="2">
        <f>$I25*KeyChips!V$15</f>
        <v>1350000000</v>
      </c>
      <c r="R25" s="128">
        <f>$I25*KeyChips!W$15</f>
        <v>2700000000</v>
      </c>
      <c r="S25" s="128">
        <f>I25*KeyChips!X15</f>
        <v>5400000000</v>
      </c>
      <c r="T25" s="119">
        <f>P25/K25</f>
        <v>3.9741935483870963E-2</v>
      </c>
      <c r="U25" s="119">
        <f>R25/K25</f>
        <v>4.4709677419354836</v>
      </c>
      <c r="V25" s="160">
        <f>V$10*(R$10/R25)</f>
        <v>0.26</v>
      </c>
      <c r="W25">
        <f t="shared" si="1"/>
        <v>17</v>
      </c>
      <c r="X25" s="24"/>
    </row>
    <row r="26" spans="2:25" x14ac:dyDescent="0.35">
      <c r="B26">
        <f t="shared" si="0"/>
        <v>18</v>
      </c>
      <c r="C26" s="23" t="s">
        <v>807</v>
      </c>
      <c r="D26" s="7">
        <v>2021</v>
      </c>
      <c r="E26" s="7">
        <v>2023</v>
      </c>
      <c r="F26" t="s">
        <v>789</v>
      </c>
      <c r="G26" t="s">
        <v>791</v>
      </c>
      <c r="H26" s="2">
        <f>KeyChips!T43</f>
        <v>400</v>
      </c>
      <c r="I26" s="2">
        <v>3000</v>
      </c>
      <c r="J26" s="2">
        <f t="shared" ref="J26:J37" si="12">H26*I26</f>
        <v>1200000</v>
      </c>
      <c r="K26" s="2">
        <f t="shared" si="11"/>
        <v>2415584.4155844157</v>
      </c>
      <c r="L26" s="128">
        <f>M26*(1/L$56)</f>
        <v>5966.666666666667</v>
      </c>
      <c r="M26" s="2">
        <f>(6*2*10*11)+13000</f>
        <v>14320</v>
      </c>
      <c r="N26" s="128">
        <f>KeyChips!M43</f>
        <v>4000</v>
      </c>
      <c r="O26" s="401" t="s">
        <v>45</v>
      </c>
      <c r="P26" s="2">
        <f>I26*KeyChips!U43</f>
        <v>67800</v>
      </c>
      <c r="Q26" s="82" t="s">
        <v>45</v>
      </c>
      <c r="R26" s="128">
        <f>I26*KeyChips!W43</f>
        <v>1086000</v>
      </c>
      <c r="S26" s="108" t="s">
        <v>45</v>
      </c>
      <c r="T26" s="119">
        <f t="shared" ref="T26:T29" si="13">P26/K26</f>
        <v>2.8067741935483871E-2</v>
      </c>
      <c r="U26" s="119">
        <f t="shared" ref="U26:U37" si="14">R26/K26</f>
        <v>0.44958064516129032</v>
      </c>
      <c r="V26" s="642">
        <f t="shared" ref="V26:V37" si="15">V$10*(R$10/R26)</f>
        <v>646.40883977900546</v>
      </c>
      <c r="W26">
        <f t="shared" si="1"/>
        <v>18</v>
      </c>
      <c r="X26" s="24">
        <f>Q11/P11</f>
        <v>29.53731343283582</v>
      </c>
    </row>
    <row r="27" spans="2:25" x14ac:dyDescent="0.35">
      <c r="B27">
        <f t="shared" si="0"/>
        <v>19</v>
      </c>
      <c r="C27" s="23" t="s">
        <v>792</v>
      </c>
      <c r="D27" s="7">
        <v>2023</v>
      </c>
      <c r="E27" s="7">
        <v>2023</v>
      </c>
      <c r="F27" t="s">
        <v>790</v>
      </c>
      <c r="G27" t="str">
        <f>KeyChips!C12</f>
        <v xml:space="preserve">Nvidia H100 SXM </v>
      </c>
      <c r="H27" s="2">
        <f>KeyChips!T$12</f>
        <v>700</v>
      </c>
      <c r="I27" s="2">
        <v>10000</v>
      </c>
      <c r="J27" s="2">
        <f t="shared" si="12"/>
        <v>7000000</v>
      </c>
      <c r="K27" s="2">
        <f t="shared" si="11"/>
        <v>14090909.090909092</v>
      </c>
      <c r="L27" s="128">
        <f>M27*(1/L$56)</f>
        <v>333333.33333333337</v>
      </c>
      <c r="M27" s="2">
        <f>I27*KeyChips!J12</f>
        <v>800000</v>
      </c>
      <c r="N27" s="128">
        <f>KeyChips!M$12</f>
        <v>3350</v>
      </c>
      <c r="O27" s="185">
        <f>I27*KeyChips!P$12*O4/Y$2</f>
        <v>660</v>
      </c>
      <c r="P27" s="2">
        <f>$I27*KeyChips!U$12</f>
        <v>670000</v>
      </c>
      <c r="Q27" s="2">
        <f>$I27*KeyChips!V$12</f>
        <v>19790000</v>
      </c>
      <c r="R27" s="128">
        <f>$I27*KeyChips!W$12</f>
        <v>39580000</v>
      </c>
      <c r="S27" s="108" t="s">
        <v>45</v>
      </c>
      <c r="T27" s="119">
        <f t="shared" si="13"/>
        <v>4.754838709677419E-2</v>
      </c>
      <c r="U27" s="119">
        <f t="shared" si="14"/>
        <v>2.8089032258064512</v>
      </c>
      <c r="V27" s="642">
        <f t="shared" si="15"/>
        <v>17.736230419403739</v>
      </c>
      <c r="W27">
        <f t="shared" si="1"/>
        <v>19</v>
      </c>
      <c r="X27" s="24"/>
    </row>
    <row r="28" spans="2:25" x14ac:dyDescent="0.35">
      <c r="B28">
        <f t="shared" si="0"/>
        <v>20</v>
      </c>
      <c r="C28" s="23" t="s">
        <v>794</v>
      </c>
      <c r="D28" s="7">
        <v>2023</v>
      </c>
      <c r="E28" s="7">
        <v>2024</v>
      </c>
      <c r="F28" t="s">
        <v>563</v>
      </c>
      <c r="G28" t="str">
        <f>G26</f>
        <v>D1, Dojo</v>
      </c>
      <c r="H28" s="2">
        <f>H26</f>
        <v>400</v>
      </c>
      <c r="I28" s="2">
        <f>R28/KeyChips!W43</f>
        <v>163906.07734806629</v>
      </c>
      <c r="J28" s="2">
        <f>H28*I28</f>
        <v>65562430.939226516</v>
      </c>
      <c r="K28" s="2">
        <f t="shared" si="11"/>
        <v>131976322.02052091</v>
      </c>
      <c r="L28" s="128">
        <f>M28*(1/L$56)</f>
        <v>325990.97605893185</v>
      </c>
      <c r="M28" s="2">
        <f>M26*(I28/I26)</f>
        <v>782378.34254143643</v>
      </c>
      <c r="N28" s="128">
        <f>N26</f>
        <v>4000</v>
      </c>
      <c r="O28" s="185">
        <f>2000-O27</f>
        <v>1340</v>
      </c>
      <c r="P28" s="2">
        <f>I28*KeyChips!U43</f>
        <v>3704277.3480662983</v>
      </c>
      <c r="Q28" s="34" t="s">
        <v>45</v>
      </c>
      <c r="R28" s="128">
        <f>100000000-R27-R26</f>
        <v>59334000</v>
      </c>
      <c r="S28" s="108" t="s">
        <v>45</v>
      </c>
      <c r="T28" s="119">
        <f>P28/K28</f>
        <v>2.8067741935483871E-2</v>
      </c>
      <c r="U28" s="119">
        <f>R28/K28</f>
        <v>0.44958064516129032</v>
      </c>
      <c r="V28" s="642">
        <f>V$10*(R$10/R28)</f>
        <v>11.831327737890586</v>
      </c>
      <c r="W28">
        <f t="shared" si="1"/>
        <v>20</v>
      </c>
      <c r="X28" s="24"/>
      <c r="Y28" s="2"/>
    </row>
    <row r="29" spans="2:25" x14ac:dyDescent="0.35">
      <c r="B29">
        <f t="shared" si="0"/>
        <v>21</v>
      </c>
      <c r="C29" s="23" t="s">
        <v>793</v>
      </c>
      <c r="D29" s="7" t="s">
        <v>831</v>
      </c>
      <c r="E29" s="7" t="s">
        <v>777</v>
      </c>
      <c r="F29" t="s">
        <v>1010</v>
      </c>
      <c r="G29" t="s">
        <v>375</v>
      </c>
      <c r="H29" s="2">
        <v>700</v>
      </c>
      <c r="I29" s="2">
        <v>50000</v>
      </c>
      <c r="J29" s="2">
        <f t="shared" si="12"/>
        <v>35000000</v>
      </c>
      <c r="K29" s="2">
        <f t="shared" si="11"/>
        <v>70454545.454545453</v>
      </c>
      <c r="L29" s="128">
        <f>M29*(1/L$56)</f>
        <v>1666666.6666666667</v>
      </c>
      <c r="M29" s="2">
        <f>I29*KeyChips!J$12</f>
        <v>4000000</v>
      </c>
      <c r="N29" s="128">
        <f>KeyChips!M$12</f>
        <v>3350</v>
      </c>
      <c r="O29" s="185">
        <f>I29*KeyChips!P$12*O$4/Y$2</f>
        <v>3300</v>
      </c>
      <c r="P29" s="2">
        <f>$I29*KeyChips!U$12</f>
        <v>3350000</v>
      </c>
      <c r="Q29" s="2">
        <f>$I29*KeyChips!V$12</f>
        <v>98950000</v>
      </c>
      <c r="R29" s="128">
        <f>$I29*KeyChips!W$12</f>
        <v>197900000</v>
      </c>
      <c r="S29" s="108" t="s">
        <v>45</v>
      </c>
      <c r="T29" s="119">
        <f t="shared" si="13"/>
        <v>4.7548387096774197E-2</v>
      </c>
      <c r="U29" s="119">
        <f t="shared" si="14"/>
        <v>2.8089032258064517</v>
      </c>
      <c r="V29" s="160">
        <f t="shared" si="15"/>
        <v>3.547246083880748</v>
      </c>
      <c r="W29">
        <f t="shared" si="1"/>
        <v>21</v>
      </c>
      <c r="X29" s="24"/>
      <c r="Y29" s="2"/>
    </row>
    <row r="30" spans="2:25" x14ac:dyDescent="0.35">
      <c r="B30">
        <f t="shared" si="0"/>
        <v>22</v>
      </c>
      <c r="C30" s="23" t="s">
        <v>1947</v>
      </c>
      <c r="D30" s="7" t="s">
        <v>1946</v>
      </c>
      <c r="E30" s="7" t="str">
        <f>D30</f>
        <v>Feb, 2025</v>
      </c>
      <c r="F30" t="s">
        <v>441</v>
      </c>
      <c r="G30" t="str">
        <f>KeyChips!C12</f>
        <v xml:space="preserve">Nvidia H100 SXM </v>
      </c>
      <c r="H30" s="2">
        <f>KeyChips!T12</f>
        <v>700</v>
      </c>
      <c r="I30" s="2">
        <v>100000</v>
      </c>
      <c r="J30" s="2">
        <f>H30*I30</f>
        <v>70000000</v>
      </c>
      <c r="K30" s="2">
        <f t="shared" si="11"/>
        <v>140909090.90909091</v>
      </c>
      <c r="L30" s="128">
        <f>M30*(1/L$56)</f>
        <v>3333333.3333333335</v>
      </c>
      <c r="M30" s="2">
        <f>I30*KeyChips!J12</f>
        <v>8000000</v>
      </c>
      <c r="N30" s="128">
        <f>KeyChips!M12</f>
        <v>3350</v>
      </c>
      <c r="O30" s="185">
        <f>I30*KeyChips!P$12*O$4/Y$2</f>
        <v>6600</v>
      </c>
      <c r="P30" s="2">
        <f>$I30*KeyChips!U12</f>
        <v>6700000</v>
      </c>
      <c r="Q30" s="2">
        <f>$I30*KeyChips!V12</f>
        <v>197900000</v>
      </c>
      <c r="R30" s="128">
        <f>$I30*KeyChips!W12</f>
        <v>395800000</v>
      </c>
      <c r="S30" s="108" t="s">
        <v>45</v>
      </c>
      <c r="T30" s="119">
        <f>P30/K30</f>
        <v>4.7548387096774197E-2</v>
      </c>
      <c r="U30" s="119">
        <f>R30/K30</f>
        <v>2.8089032258064517</v>
      </c>
      <c r="V30" s="642">
        <f>V$10*(R$10/R30)</f>
        <v>1.773623041940374</v>
      </c>
      <c r="W30">
        <f t="shared" si="1"/>
        <v>22</v>
      </c>
    </row>
    <row r="31" spans="2:25" x14ac:dyDescent="0.35">
      <c r="B31">
        <f t="shared" si="0"/>
        <v>23</v>
      </c>
      <c r="C31" s="23" t="s">
        <v>1949</v>
      </c>
      <c r="D31" s="7" t="s">
        <v>819</v>
      </c>
      <c r="E31" s="7">
        <v>2025</v>
      </c>
      <c r="F31" t="s">
        <v>821</v>
      </c>
      <c r="G31" t="s">
        <v>375</v>
      </c>
      <c r="H31" s="2">
        <f>KeyChips!T$12</f>
        <v>700</v>
      </c>
      <c r="I31" s="2">
        <v>128000</v>
      </c>
      <c r="J31" s="2">
        <f t="shared" si="12"/>
        <v>89600000</v>
      </c>
      <c r="K31" s="2">
        <f t="shared" si="11"/>
        <v>180363636.36363637</v>
      </c>
      <c r="L31" s="128">
        <f>M31*(1/L$56)</f>
        <v>4266666.666666667</v>
      </c>
      <c r="M31" s="2">
        <f>I31*KeyChips!J$12</f>
        <v>10240000</v>
      </c>
      <c r="N31" s="128">
        <f>KeyChips!M$12</f>
        <v>3350</v>
      </c>
      <c r="O31" s="185">
        <f>I31*KeyChips!P$12*O4/Y$2</f>
        <v>8448</v>
      </c>
      <c r="P31" s="2">
        <f>$I31*KeyChips!U$12</f>
        <v>8576000</v>
      </c>
      <c r="Q31" s="2">
        <f>$I31*KeyChips!V$12</f>
        <v>253312000</v>
      </c>
      <c r="R31" s="128">
        <f>$I31*KeyChips!W$12</f>
        <v>506624000</v>
      </c>
      <c r="S31" s="108" t="s">
        <v>45</v>
      </c>
      <c r="T31" s="119">
        <f>P31/K31</f>
        <v>4.754838709677419E-2</v>
      </c>
      <c r="U31" s="119">
        <f t="shared" si="14"/>
        <v>2.8089032258064512</v>
      </c>
      <c r="V31" s="160">
        <f t="shared" si="15"/>
        <v>1.3856430015159171</v>
      </c>
      <c r="W31">
        <f t="shared" si="1"/>
        <v>23</v>
      </c>
      <c r="X31" s="24"/>
    </row>
    <row r="32" spans="2:25" x14ac:dyDescent="0.35">
      <c r="B32">
        <f t="shared" si="0"/>
        <v>24</v>
      </c>
      <c r="C32" s="23" t="s">
        <v>808</v>
      </c>
      <c r="D32" s="7">
        <v>2022</v>
      </c>
      <c r="E32" s="7">
        <v>2022</v>
      </c>
      <c r="F32" t="s">
        <v>583</v>
      </c>
      <c r="G32" t="s">
        <v>614</v>
      </c>
      <c r="H32" s="2">
        <f>KeyChips!T33</f>
        <v>192</v>
      </c>
      <c r="I32" s="2">
        <v>6144</v>
      </c>
      <c r="J32" s="2">
        <f>H32*I32</f>
        <v>1179648</v>
      </c>
      <c r="K32" s="2">
        <f>J32*K$4</f>
        <v>2374616.1038961038</v>
      </c>
      <c r="L32" s="128">
        <f>M32*(1/L$56)</f>
        <v>81920</v>
      </c>
      <c r="M32" s="2">
        <f>I32*KeyChips!J33</f>
        <v>196608</v>
      </c>
      <c r="N32" s="128">
        <f>KeyChips!M33</f>
        <v>1200</v>
      </c>
      <c r="O32" s="185">
        <f>I32*KeyChips!P33*O4/Y$2</f>
        <v>49.152000000000001</v>
      </c>
      <c r="P32" s="34" t="s">
        <v>45</v>
      </c>
      <c r="Q32" s="34" t="s">
        <v>45</v>
      </c>
      <c r="R32" s="128">
        <f>$I32*KeyChips!W33</f>
        <v>1689600</v>
      </c>
      <c r="S32" s="108" t="s">
        <v>45</v>
      </c>
      <c r="T32" s="183" t="s">
        <v>45</v>
      </c>
      <c r="U32" s="119">
        <f t="shared" si="14"/>
        <v>0.71152553763440862</v>
      </c>
      <c r="V32" s="642">
        <f t="shared" si="15"/>
        <v>415.4829545454545</v>
      </c>
      <c r="W32">
        <f t="shared" si="1"/>
        <v>24</v>
      </c>
      <c r="X32" s="24"/>
    </row>
    <row r="33" spans="2:25" x14ac:dyDescent="0.35">
      <c r="B33">
        <f t="shared" si="0"/>
        <v>25</v>
      </c>
      <c r="C33" s="23" t="s">
        <v>3205</v>
      </c>
      <c r="D33" s="7" t="s">
        <v>3153</v>
      </c>
      <c r="E33" s="7">
        <v>2025</v>
      </c>
      <c r="F33" t="s">
        <v>583</v>
      </c>
      <c r="G33" t="s">
        <v>3207</v>
      </c>
      <c r="H33" s="2">
        <f>KeyChips!T$37</f>
        <v>800</v>
      </c>
      <c r="I33" s="2">
        <v>9216</v>
      </c>
      <c r="J33" s="2">
        <f t="shared" ref="J33:J34" si="16">H33*I33</f>
        <v>7372800</v>
      </c>
      <c r="K33" s="2">
        <f t="shared" ref="K33:K34" si="17">J33*K$4</f>
        <v>14841350.649350651</v>
      </c>
      <c r="L33" s="128">
        <f>M33*(1/L$58)</f>
        <v>2949120</v>
      </c>
      <c r="M33" s="2">
        <f>I33*KeyChips!J$37</f>
        <v>1769472</v>
      </c>
      <c r="N33" s="128">
        <f>KeyChips!M$37</f>
        <v>7300</v>
      </c>
      <c r="O33" s="185"/>
      <c r="P33" s="34"/>
      <c r="Q33" s="34"/>
      <c r="R33" s="128">
        <f>$I33*KeyChips!W$37</f>
        <v>42500000</v>
      </c>
      <c r="S33" s="108"/>
      <c r="T33" s="183"/>
      <c r="U33" s="119"/>
      <c r="V33" s="642"/>
      <c r="W33">
        <f t="shared" si="1"/>
        <v>25</v>
      </c>
      <c r="X33" s="24"/>
    </row>
    <row r="34" spans="2:25" x14ac:dyDescent="0.35">
      <c r="B34">
        <f t="shared" si="0"/>
        <v>26</v>
      </c>
      <c r="C34" s="23" t="s">
        <v>3206</v>
      </c>
      <c r="D34" s="7" t="s">
        <v>3153</v>
      </c>
      <c r="E34" s="7">
        <v>2025</v>
      </c>
      <c r="F34" t="s">
        <v>583</v>
      </c>
      <c r="G34" t="s">
        <v>3207</v>
      </c>
      <c r="H34" s="2">
        <f>KeyChips!T$37</f>
        <v>800</v>
      </c>
      <c r="I34" s="2">
        <v>400000</v>
      </c>
      <c r="J34" s="2">
        <f t="shared" si="16"/>
        <v>320000000</v>
      </c>
      <c r="K34" s="2">
        <f t="shared" si="17"/>
        <v>644155844.15584421</v>
      </c>
      <c r="L34" s="128">
        <f>M34*(1/L$58)</f>
        <v>128000000</v>
      </c>
      <c r="M34" s="2">
        <f>I34*KeyChips!J$37</f>
        <v>76800000</v>
      </c>
      <c r="N34" s="128">
        <f>KeyChips!M$37</f>
        <v>7300</v>
      </c>
      <c r="O34" s="185"/>
      <c r="P34" s="34"/>
      <c r="Q34" s="34"/>
      <c r="R34" s="128">
        <f>$I34*KeyChips!W$37</f>
        <v>1844618055.5555556</v>
      </c>
      <c r="S34" s="108"/>
      <c r="T34" s="183"/>
      <c r="U34" s="119"/>
      <c r="V34" s="642"/>
      <c r="W34">
        <f t="shared" si="1"/>
        <v>26</v>
      </c>
      <c r="X34" s="24"/>
    </row>
    <row r="35" spans="2:25" x14ac:dyDescent="0.35">
      <c r="B35">
        <f t="shared" si="0"/>
        <v>27</v>
      </c>
      <c r="C35" s="23" t="s">
        <v>571</v>
      </c>
      <c r="D35" s="7">
        <v>2023</v>
      </c>
      <c r="E35" s="7">
        <v>2023</v>
      </c>
      <c r="F35" t="s">
        <v>572</v>
      </c>
      <c r="G35" t="str">
        <f>KeyChips!C12</f>
        <v xml:space="preserve">Nvidia H100 SXM </v>
      </c>
      <c r="H35" s="2">
        <f>KeyChips!T12</f>
        <v>700</v>
      </c>
      <c r="I35" s="2">
        <f>R35/KeyChips!W12</f>
        <v>6568.9742294087919</v>
      </c>
      <c r="J35" s="2">
        <f t="shared" si="12"/>
        <v>4598281.9605861539</v>
      </c>
      <c r="K35" s="2">
        <f t="shared" si="11"/>
        <v>9256281.868712388</v>
      </c>
      <c r="L35" s="128">
        <f>M35*(1/L$56)</f>
        <v>218965.80764695973</v>
      </c>
      <c r="M35" s="2">
        <f>I35*KeyChips!J12</f>
        <v>525517.93835270335</v>
      </c>
      <c r="N35" s="128">
        <f>KeyChips!M12</f>
        <v>3350</v>
      </c>
      <c r="O35" s="185">
        <f>I35*KeyChips!P$12*O4/Y$2</f>
        <v>433.55229914098027</v>
      </c>
      <c r="P35" s="2">
        <f>$I35*KeyChips!U$12</f>
        <v>440121.27337038907</v>
      </c>
      <c r="Q35" s="2">
        <f>$I35*KeyChips!V$12</f>
        <v>13000000</v>
      </c>
      <c r="R35" s="128">
        <v>26000000</v>
      </c>
      <c r="S35" s="108" t="s">
        <v>45</v>
      </c>
      <c r="T35" s="119">
        <f>P35/K35</f>
        <v>4.7548387096774197E-2</v>
      </c>
      <c r="U35" s="119">
        <f t="shared" si="14"/>
        <v>2.8089032258064521</v>
      </c>
      <c r="V35" s="642">
        <f t="shared" si="15"/>
        <v>27</v>
      </c>
      <c r="W35">
        <f t="shared" si="1"/>
        <v>27</v>
      </c>
      <c r="X35" s="24"/>
    </row>
    <row r="36" spans="2:25" x14ac:dyDescent="0.35">
      <c r="B36">
        <f t="shared" si="0"/>
        <v>28</v>
      </c>
      <c r="C36" s="23" t="s">
        <v>607</v>
      </c>
      <c r="D36" s="7">
        <v>2022</v>
      </c>
      <c r="E36" s="7">
        <v>2022</v>
      </c>
      <c r="F36" t="s">
        <v>583</v>
      </c>
      <c r="G36" t="str">
        <f>KeyChips!C11</f>
        <v>Nvidia A100 used for GTP-4 training</v>
      </c>
      <c r="H36" s="2">
        <f>KeyChips!T11</f>
        <v>240</v>
      </c>
      <c r="I36" s="2">
        <v>4000</v>
      </c>
      <c r="J36" s="2">
        <f t="shared" si="12"/>
        <v>960000</v>
      </c>
      <c r="K36" s="2">
        <v>10000000</v>
      </c>
      <c r="L36" s="128">
        <f>M36*(1/L$56)</f>
        <v>66666.666666666672</v>
      </c>
      <c r="M36" s="2">
        <f>I36*KeyChips!J11</f>
        <v>160000</v>
      </c>
      <c r="N36" s="128">
        <f>KeyChips!M11</f>
        <v>1555</v>
      </c>
      <c r="O36" s="185">
        <f>I36*KeyChips!P11*O4/Y2</f>
        <v>48</v>
      </c>
      <c r="P36" s="34">
        <f>I36*KeyChips!U11</f>
        <v>80000</v>
      </c>
      <c r="Q36" s="34">
        <f>I36*KeyChips!V11</f>
        <v>320000</v>
      </c>
      <c r="R36" s="108">
        <f>I36*KeyChips!W11</f>
        <v>1248000</v>
      </c>
      <c r="S36" s="108" t="s">
        <v>45</v>
      </c>
      <c r="T36" s="119">
        <f>P36/K36</f>
        <v>8.0000000000000002E-3</v>
      </c>
      <c r="U36" s="119">
        <f t="shared" si="14"/>
        <v>0.12479999999999999</v>
      </c>
      <c r="V36" s="642">
        <f t="shared" si="15"/>
        <v>562.5</v>
      </c>
      <c r="W36">
        <f t="shared" si="1"/>
        <v>28</v>
      </c>
      <c r="X36" s="24"/>
    </row>
    <row r="37" spans="2:25" x14ac:dyDescent="0.35">
      <c r="B37">
        <f t="shared" si="0"/>
        <v>29</v>
      </c>
      <c r="C37" s="23" t="s">
        <v>623</v>
      </c>
      <c r="D37" s="7">
        <v>2022</v>
      </c>
      <c r="E37" s="7">
        <v>2022</v>
      </c>
      <c r="F37" t="s">
        <v>572</v>
      </c>
      <c r="G37" t="str">
        <f>KeyChips!C12</f>
        <v xml:space="preserve">Nvidia H100 SXM </v>
      </c>
      <c r="H37" s="2">
        <f>KeyChips!T12</f>
        <v>700</v>
      </c>
      <c r="I37" s="2">
        <v>4608</v>
      </c>
      <c r="J37" s="2">
        <f t="shared" si="12"/>
        <v>3225600</v>
      </c>
      <c r="K37" s="2">
        <f>J37*K$4</f>
        <v>6493090.9090909092</v>
      </c>
      <c r="L37" s="128">
        <f>M37*(1/L$56)</f>
        <v>153600</v>
      </c>
      <c r="M37" s="2">
        <f>I37*KeyChips!J12</f>
        <v>368640</v>
      </c>
      <c r="N37" s="128">
        <f>KeyChips!M12</f>
        <v>3350</v>
      </c>
      <c r="O37" s="185">
        <f>I37*KeyChips!P$12*O4/Y$2</f>
        <v>304.12799999999999</v>
      </c>
      <c r="P37" s="2">
        <f>$I37*KeyChips!U$12</f>
        <v>308736</v>
      </c>
      <c r="Q37" s="2">
        <f>$I37*KeyChips!V$12</f>
        <v>9119232</v>
      </c>
      <c r="R37" s="128">
        <f>$I37*KeyChips!W$12</f>
        <v>18238464</v>
      </c>
      <c r="S37" s="108" t="s">
        <v>45</v>
      </c>
      <c r="T37" s="119">
        <f>P37/K37</f>
        <v>4.754838709677419E-2</v>
      </c>
      <c r="U37" s="119">
        <f t="shared" si="14"/>
        <v>2.8089032258064517</v>
      </c>
      <c r="V37" s="642">
        <f t="shared" si="15"/>
        <v>38.49008337544214</v>
      </c>
      <c r="W37">
        <f t="shared" si="1"/>
        <v>29</v>
      </c>
      <c r="X37" s="24"/>
    </row>
    <row r="38" spans="2:25" x14ac:dyDescent="0.35">
      <c r="B38">
        <f t="shared" si="0"/>
        <v>30</v>
      </c>
      <c r="C38" s="23" t="s">
        <v>234</v>
      </c>
      <c r="D38" s="7">
        <v>2021</v>
      </c>
      <c r="E38" s="7">
        <v>2022</v>
      </c>
      <c r="F38" t="s">
        <v>606</v>
      </c>
      <c r="G38" t="s">
        <v>474</v>
      </c>
      <c r="H38" s="2">
        <v>500</v>
      </c>
      <c r="I38" s="2">
        <v>37888</v>
      </c>
      <c r="J38" s="34">
        <f>I38*H38</f>
        <v>18944000</v>
      </c>
      <c r="K38" s="2">
        <v>21000000</v>
      </c>
      <c r="L38" s="128">
        <f>M38*(1/L$56)</f>
        <v>2020693.3333333335</v>
      </c>
      <c r="M38" s="2">
        <f>I38*128</f>
        <v>4849664</v>
      </c>
      <c r="N38" s="108" t="s">
        <v>45</v>
      </c>
      <c r="O38" s="185">
        <v>600</v>
      </c>
      <c r="P38" s="2">
        <v>1194000</v>
      </c>
      <c r="Q38" s="34" t="s">
        <v>45</v>
      </c>
      <c r="R38" s="108" t="s">
        <v>45</v>
      </c>
      <c r="S38" s="108" t="s">
        <v>45</v>
      </c>
      <c r="T38" s="119">
        <f>P38/K38</f>
        <v>5.6857142857142856E-2</v>
      </c>
      <c r="U38" s="183" t="s">
        <v>45</v>
      </c>
      <c r="V38" s="643" t="s">
        <v>45</v>
      </c>
      <c r="W38">
        <f t="shared" si="1"/>
        <v>30</v>
      </c>
      <c r="X38" s="24"/>
    </row>
    <row r="39" spans="2:25" x14ac:dyDescent="0.35">
      <c r="B39">
        <f t="shared" si="0"/>
        <v>31</v>
      </c>
      <c r="C39" s="23" t="s">
        <v>156</v>
      </c>
      <c r="D39" s="7">
        <v>2018</v>
      </c>
      <c r="E39" s="7">
        <v>2023</v>
      </c>
      <c r="F39" t="s">
        <v>165</v>
      </c>
      <c r="G39" t="s">
        <v>158</v>
      </c>
      <c r="H39" s="2">
        <f>KeyChips!T30</f>
        <v>600</v>
      </c>
      <c r="I39" s="2">
        <f>Q39/KeyChips!V30</f>
        <v>5221.9321148825065</v>
      </c>
      <c r="J39" s="2">
        <f t="shared" ref="J39:J43" si="18">H39*I39</f>
        <v>3133159.2689295039</v>
      </c>
      <c r="K39" s="2">
        <v>40000000</v>
      </c>
      <c r="L39" s="128">
        <f>M39*(1/L$56)</f>
        <v>278503.04612706701</v>
      </c>
      <c r="M39" s="2">
        <f>I39*KeyChips!J30</f>
        <v>668407.31070496084</v>
      </c>
      <c r="N39" s="128">
        <f>KeyChips!M30</f>
        <v>5200</v>
      </c>
      <c r="O39" s="185">
        <v>600</v>
      </c>
      <c r="P39" s="2">
        <f>I39*KeyChips!U30</f>
        <v>250652.7415143603</v>
      </c>
      <c r="Q39" s="2">
        <v>2000000</v>
      </c>
      <c r="R39" s="108" t="s">
        <v>45</v>
      </c>
      <c r="S39" s="108" t="s">
        <v>45</v>
      </c>
      <c r="T39" s="119">
        <f>P39/K39</f>
        <v>6.2663185378590072E-3</v>
      </c>
      <c r="U39" s="119">
        <f>Q39/K39</f>
        <v>0.05</v>
      </c>
      <c r="V39" s="643" t="s">
        <v>45</v>
      </c>
      <c r="W39">
        <f t="shared" si="1"/>
        <v>31</v>
      </c>
    </row>
    <row r="40" spans="2:25" x14ac:dyDescent="0.35">
      <c r="B40">
        <f t="shared" si="0"/>
        <v>32</v>
      </c>
      <c r="C40" s="23" t="s">
        <v>1011</v>
      </c>
      <c r="D40" s="7">
        <v>2021</v>
      </c>
      <c r="E40" s="7">
        <v>2023</v>
      </c>
      <c r="F40" t="s">
        <v>583</v>
      </c>
      <c r="G40" t="s">
        <v>120</v>
      </c>
      <c r="H40" s="2">
        <f>KeyChips!T26</f>
        <v>23000</v>
      </c>
      <c r="I40" s="2">
        <v>64</v>
      </c>
      <c r="J40" s="2">
        <f t="shared" si="18"/>
        <v>1472000</v>
      </c>
      <c r="K40" s="2">
        <v>1750000</v>
      </c>
      <c r="L40" s="128">
        <f>M40*(1/L$56)</f>
        <v>34166.666666666672</v>
      </c>
      <c r="M40" s="2">
        <v>82000</v>
      </c>
      <c r="N40" s="108" t="s">
        <v>45</v>
      </c>
      <c r="O40" s="185">
        <f>I40*KeyChips!P$26*O$4/Y$2</f>
        <v>192</v>
      </c>
      <c r="P40" s="34" t="s">
        <v>45</v>
      </c>
      <c r="Q40" s="2">
        <v>4000000</v>
      </c>
      <c r="R40" s="108" t="s">
        <v>45</v>
      </c>
      <c r="S40" s="108" t="s">
        <v>45</v>
      </c>
      <c r="T40" s="183" t="s">
        <v>45</v>
      </c>
      <c r="U40" s="119">
        <f>Q40/K40</f>
        <v>2.2857142857142856</v>
      </c>
      <c r="V40" s="643" t="s">
        <v>45</v>
      </c>
      <c r="W40">
        <f t="shared" si="1"/>
        <v>32</v>
      </c>
    </row>
    <row r="41" spans="2:25" x14ac:dyDescent="0.35">
      <c r="B41">
        <f t="shared" si="0"/>
        <v>33</v>
      </c>
      <c r="C41" s="23" t="s">
        <v>1012</v>
      </c>
      <c r="D41" s="7">
        <v>2024</v>
      </c>
      <c r="E41" s="7">
        <v>2024</v>
      </c>
      <c r="F41" t="s">
        <v>583</v>
      </c>
      <c r="G41" t="s">
        <v>680</v>
      </c>
      <c r="H41" s="2">
        <f>KeyChips!T27</f>
        <v>23000</v>
      </c>
      <c r="I41" s="2">
        <v>64</v>
      </c>
      <c r="J41" s="2">
        <f t="shared" si="18"/>
        <v>1472000</v>
      </c>
      <c r="K41" s="2">
        <v>2500000</v>
      </c>
      <c r="L41" s="128">
        <f>M41*(1/L$56)</f>
        <v>500000</v>
      </c>
      <c r="M41" s="2">
        <v>1200000</v>
      </c>
      <c r="N41" s="108" t="s">
        <v>45</v>
      </c>
      <c r="O41" s="185">
        <f>I41*KeyChips!P$26*O$4/Y$2</f>
        <v>192</v>
      </c>
      <c r="P41" s="34" t="s">
        <v>45</v>
      </c>
      <c r="Q41" s="2">
        <f>I41*KeyChips!V27</f>
        <v>8000000</v>
      </c>
      <c r="R41" s="108" t="s">
        <v>45</v>
      </c>
      <c r="S41" s="108" t="s">
        <v>45</v>
      </c>
      <c r="T41" s="183" t="s">
        <v>45</v>
      </c>
      <c r="U41" s="119">
        <f>Q41/K41</f>
        <v>3.2</v>
      </c>
      <c r="V41" s="643" t="s">
        <v>45</v>
      </c>
      <c r="W41">
        <f t="shared" si="1"/>
        <v>33</v>
      </c>
    </row>
    <row r="42" spans="2:25" x14ac:dyDescent="0.35">
      <c r="B42">
        <f t="shared" si="0"/>
        <v>34</v>
      </c>
      <c r="C42" s="23" t="s">
        <v>686</v>
      </c>
      <c r="D42" s="7">
        <v>2024</v>
      </c>
      <c r="E42" s="7" t="s">
        <v>1013</v>
      </c>
      <c r="F42" t="s">
        <v>583</v>
      </c>
      <c r="G42" t="s">
        <v>680</v>
      </c>
      <c r="H42" s="2">
        <f>KeyChips!T27</f>
        <v>23000</v>
      </c>
      <c r="I42" s="2">
        <f>Q42/KeyChips!V27</f>
        <v>2048</v>
      </c>
      <c r="J42" s="2">
        <f t="shared" si="18"/>
        <v>47104000</v>
      </c>
      <c r="K42" s="2">
        <f>K41*(I42/I41)</f>
        <v>80000000</v>
      </c>
      <c r="L42" s="128">
        <f>M42*(1/L$56)</f>
        <v>16000000</v>
      </c>
      <c r="M42" s="34">
        <f>M41*(I42/I41)</f>
        <v>38400000</v>
      </c>
      <c r="N42" s="108" t="s">
        <v>45</v>
      </c>
      <c r="O42" s="185">
        <f>I42*KeyChips!P$26*O$4/Y$2</f>
        <v>6144</v>
      </c>
      <c r="P42" s="34" t="s">
        <v>45</v>
      </c>
      <c r="Q42" s="2">
        <v>256000000</v>
      </c>
      <c r="R42" s="108" t="s">
        <v>45</v>
      </c>
      <c r="S42" s="108" t="s">
        <v>45</v>
      </c>
      <c r="T42" s="183" t="s">
        <v>45</v>
      </c>
      <c r="U42" s="119">
        <f>Q42/K42</f>
        <v>3.2</v>
      </c>
      <c r="V42" s="643" t="s">
        <v>45</v>
      </c>
      <c r="W42">
        <f t="shared" si="1"/>
        <v>34</v>
      </c>
    </row>
    <row r="43" spans="2:25" ht="15" thickBot="1" x14ac:dyDescent="0.4">
      <c r="B43">
        <f t="shared" si="0"/>
        <v>35</v>
      </c>
      <c r="C43" s="23" t="s">
        <v>491</v>
      </c>
      <c r="D43" s="220" t="s">
        <v>654</v>
      </c>
      <c r="E43" s="220" t="s">
        <v>472</v>
      </c>
      <c r="F43" t="s">
        <v>572</v>
      </c>
      <c r="G43" s="199" t="s">
        <v>375</v>
      </c>
      <c r="H43" s="221">
        <f>KeyChips!T12</f>
        <v>700</v>
      </c>
      <c r="I43" s="221">
        <v>22000</v>
      </c>
      <c r="J43" s="221">
        <f t="shared" si="18"/>
        <v>15400000</v>
      </c>
      <c r="K43" s="221">
        <v>31000000</v>
      </c>
      <c r="L43" s="128">
        <f>M43*(1/L$56)</f>
        <v>733333.33333333337</v>
      </c>
      <c r="M43" s="222">
        <f>I43*KeyChips!J12</f>
        <v>1760000</v>
      </c>
      <c r="N43" s="128">
        <f>KeyChips!M12</f>
        <v>3350</v>
      </c>
      <c r="O43" s="402">
        <f>I43*KeyChips!P12*O4/Y2</f>
        <v>1452</v>
      </c>
      <c r="P43" s="221">
        <f>I43*KeyChips!U12</f>
        <v>1474000</v>
      </c>
      <c r="Q43" s="221">
        <f>I43*KeyChips!V12</f>
        <v>43538000</v>
      </c>
      <c r="R43" s="138">
        <f>I43*KeyChips!W12</f>
        <v>87076000</v>
      </c>
      <c r="S43" s="108" t="s">
        <v>45</v>
      </c>
      <c r="T43" s="223">
        <f t="shared" ref="T43" si="19">P43/K43</f>
        <v>4.754838709677419E-2</v>
      </c>
      <c r="U43" s="223">
        <f>R43/K43</f>
        <v>2.8089032258064517</v>
      </c>
      <c r="V43" s="642">
        <f>V$10*(R$10/R43)</f>
        <v>8.0619229179107901</v>
      </c>
      <c r="W43">
        <f t="shared" si="1"/>
        <v>35</v>
      </c>
    </row>
    <row r="44" spans="2:25" ht="21.5" thickTop="1" x14ac:dyDescent="0.5">
      <c r="B44">
        <f t="shared" si="0"/>
        <v>36</v>
      </c>
      <c r="C44" s="702" t="s">
        <v>1912</v>
      </c>
      <c r="D44" s="470"/>
      <c r="E44" s="470"/>
      <c r="F44" s="461"/>
      <c r="G44" s="461"/>
      <c r="H44" s="462"/>
      <c r="I44" s="462"/>
      <c r="J44" s="462"/>
      <c r="K44" s="462"/>
      <c r="L44" s="462"/>
      <c r="M44" s="462"/>
      <c r="N44" s="462"/>
      <c r="O44" s="464"/>
      <c r="P44" s="462"/>
      <c r="Q44" s="463"/>
      <c r="R44" s="462"/>
      <c r="S44" s="463"/>
      <c r="T44" s="535"/>
      <c r="U44" s="535"/>
      <c r="V44" s="644"/>
      <c r="W44">
        <f t="shared" si="1"/>
        <v>36</v>
      </c>
      <c r="X44" s="24"/>
      <c r="Y44" s="2"/>
    </row>
    <row r="45" spans="2:25" x14ac:dyDescent="0.35">
      <c r="B45">
        <f t="shared" si="0"/>
        <v>37</v>
      </c>
      <c r="C45" s="23" t="s">
        <v>1030</v>
      </c>
      <c r="D45" s="7">
        <v>2021</v>
      </c>
      <c r="E45" s="7">
        <f>D45</f>
        <v>2021</v>
      </c>
      <c r="F45" t="s">
        <v>835</v>
      </c>
      <c r="G45" t="str">
        <f>KeyChips!C11</f>
        <v>Nvidia A100 used for GTP-4 training</v>
      </c>
      <c r="H45" s="34">
        <f>KeyChips!T11</f>
        <v>240</v>
      </c>
      <c r="I45" s="34">
        <v>128</v>
      </c>
      <c r="J45" s="34">
        <f>H45*I45</f>
        <v>30720</v>
      </c>
      <c r="K45" s="2">
        <f>J45*K$4</f>
        <v>61838.961038961046</v>
      </c>
      <c r="L45" s="128">
        <f>AI_Models!J16</f>
        <v>1800</v>
      </c>
      <c r="M45" s="2">
        <f>I45*KeyChips!J11</f>
        <v>5120</v>
      </c>
      <c r="N45" s="128">
        <f>KeyChips!M11</f>
        <v>1555</v>
      </c>
      <c r="O45" s="188">
        <f>I45*KeyChips!P11*O4/Y2</f>
        <v>1.536</v>
      </c>
      <c r="P45" s="34">
        <f>I45*KeyChips!U11</f>
        <v>2560</v>
      </c>
      <c r="Q45" s="34">
        <f>I45*KeyChips!V11</f>
        <v>10240</v>
      </c>
      <c r="R45" s="108">
        <f>I45*KeyChips!W11</f>
        <v>39936</v>
      </c>
      <c r="S45" s="108" t="s">
        <v>45</v>
      </c>
      <c r="T45" s="119">
        <f>P45/K45</f>
        <v>4.1397849462365584E-2</v>
      </c>
      <c r="U45" s="119">
        <f>R45/K45</f>
        <v>0.64580645161290318</v>
      </c>
      <c r="V45" s="642">
        <f>V$10*(R$10/R45)</f>
        <v>17578.125</v>
      </c>
      <c r="W45">
        <f t="shared" si="1"/>
        <v>37</v>
      </c>
      <c r="X45" s="24">
        <f>R26/P26</f>
        <v>16.017699115044248</v>
      </c>
    </row>
    <row r="46" spans="2:25" x14ac:dyDescent="0.35">
      <c r="B46">
        <f t="shared" si="0"/>
        <v>38</v>
      </c>
      <c r="C46" s="23" t="str">
        <f>KeyChips!C47</f>
        <v xml:space="preserve">Tesla HW4 or AI4 </v>
      </c>
      <c r="D46" s="7">
        <f>KeyChips!D47</f>
        <v>2023</v>
      </c>
      <c r="E46" s="7">
        <f>D46</f>
        <v>2023</v>
      </c>
      <c r="F46" t="s">
        <v>978</v>
      </c>
      <c r="G46" t="s">
        <v>847</v>
      </c>
      <c r="H46" s="2">
        <f>KeyChips!T47</f>
        <v>100</v>
      </c>
      <c r="I46" s="2">
        <v>1</v>
      </c>
      <c r="J46" s="2">
        <f>H46*I46</f>
        <v>100</v>
      </c>
      <c r="K46" s="2">
        <f>J46*K$4</f>
        <v>201.2987012987013</v>
      </c>
      <c r="L46" s="157">
        <f>M46/KeyChips!S106</f>
        <v>5.2426666666666666</v>
      </c>
      <c r="M46" s="2">
        <f>KeyChips!J47</f>
        <v>128</v>
      </c>
      <c r="N46" s="128">
        <f>KeyChips!M47</f>
        <v>204.8</v>
      </c>
      <c r="O46" s="404">
        <f>KeyChips!P47/Y2</f>
        <v>1.8E-3</v>
      </c>
      <c r="P46" s="130" t="s">
        <v>45</v>
      </c>
      <c r="Q46" s="82" t="s">
        <v>45</v>
      </c>
      <c r="R46" s="128">
        <f>KeyChips!W47</f>
        <v>185</v>
      </c>
      <c r="S46" s="108" t="s">
        <v>45</v>
      </c>
      <c r="T46" s="183" t="s">
        <v>45</v>
      </c>
      <c r="U46" s="119">
        <f>R46/K46</f>
        <v>0.91903225806451616</v>
      </c>
      <c r="V46" s="642">
        <f>V$10*(R$10/R46)</f>
        <v>3794594.5945945946</v>
      </c>
      <c r="W46">
        <f t="shared" si="1"/>
        <v>38</v>
      </c>
      <c r="X46" s="24">
        <f>Q39/P39</f>
        <v>7.979166666666667</v>
      </c>
    </row>
    <row r="47" spans="2:25" ht="15" thickBot="1" x14ac:dyDescent="0.4">
      <c r="B47">
        <f t="shared" si="0"/>
        <v>39</v>
      </c>
      <c r="C47" s="23" t="str">
        <f>KeyChips!C54</f>
        <v>Nvidia drive Jetson Orin AGX 64GB</v>
      </c>
      <c r="D47" s="7" t="s">
        <v>844</v>
      </c>
      <c r="E47" s="7">
        <f>KeyChips!D54</f>
        <v>2022</v>
      </c>
      <c r="F47" t="str">
        <f>F46</f>
        <v>Vision input to driver control</v>
      </c>
      <c r="G47" t="s">
        <v>845</v>
      </c>
      <c r="H47" s="2">
        <f>KeyChips!T54</f>
        <v>60</v>
      </c>
      <c r="I47" s="2">
        <v>1</v>
      </c>
      <c r="J47" s="2">
        <f t="shared" ref="J47" si="20">H47*I47</f>
        <v>60</v>
      </c>
      <c r="K47" s="2">
        <f>J47*K$4</f>
        <v>120.77922077922079</v>
      </c>
      <c r="L47" s="157">
        <f>M47/KeyChips!S106</f>
        <v>2.6213333333333333</v>
      </c>
      <c r="M47" s="2">
        <f>KeyChips!J54</f>
        <v>64</v>
      </c>
      <c r="N47" s="128">
        <f>KeyChips!M54</f>
        <v>204.8</v>
      </c>
      <c r="O47" s="404">
        <f>KeyChips!P54/Y2</f>
        <v>1.5989999999999999E-3</v>
      </c>
      <c r="P47" s="130" t="str">
        <f>KeyChips!U54</f>
        <v>-</v>
      </c>
      <c r="Q47" s="235" t="str">
        <f>KeyChips!V54</f>
        <v>-</v>
      </c>
      <c r="R47" s="128">
        <f>KeyChips!W54</f>
        <v>275</v>
      </c>
      <c r="S47" s="108" t="str">
        <f>KeyChips!X47</f>
        <v>-</v>
      </c>
      <c r="T47" s="183" t="s">
        <v>45</v>
      </c>
      <c r="U47" s="119">
        <f>R47/K47</f>
        <v>2.2768817204301071</v>
      </c>
      <c r="V47" s="642">
        <f>V$10*(R$10/R47)</f>
        <v>2552727.2727272729</v>
      </c>
      <c r="W47">
        <f t="shared" si="1"/>
        <v>39</v>
      </c>
      <c r="X47" s="24"/>
    </row>
    <row r="48" spans="2:25" ht="21.5" thickTop="1" x14ac:dyDescent="0.5">
      <c r="B48">
        <f t="shared" si="0"/>
        <v>40</v>
      </c>
      <c r="C48" s="702" t="str">
        <f>KeyChips!C72</f>
        <v>Comparing with biological brains</v>
      </c>
      <c r="D48" s="470"/>
      <c r="E48" s="470"/>
      <c r="F48" s="461"/>
      <c r="G48" s="461"/>
      <c r="H48" s="462"/>
      <c r="I48" s="462"/>
      <c r="J48" s="462"/>
      <c r="K48" s="462"/>
      <c r="L48" s="462"/>
      <c r="M48" s="462"/>
      <c r="N48" s="463"/>
      <c r="O48" s="537"/>
      <c r="P48" s="462"/>
      <c r="Q48" s="462"/>
      <c r="R48" s="462"/>
      <c r="S48" s="462"/>
      <c r="T48" s="535"/>
      <c r="U48" s="535"/>
      <c r="V48" s="536"/>
      <c r="W48">
        <f t="shared" si="1"/>
        <v>40</v>
      </c>
    </row>
    <row r="49" spans="2:25" x14ac:dyDescent="0.35">
      <c r="B49">
        <f t="shared" si="0"/>
        <v>41</v>
      </c>
      <c r="C49" s="23" t="str">
        <f>AI_Models!C107</f>
        <v>Human brain - Life 2.5</v>
      </c>
      <c r="D49" s="34" t="str">
        <f>AI_Models!D107</f>
        <v>300,000BC</v>
      </c>
      <c r="E49" s="34" t="str">
        <f>D49</f>
        <v>300,000BC</v>
      </c>
      <c r="F49" t="str">
        <f>AI_Models!E107</f>
        <v>Motion, sensing, thought, etc.</v>
      </c>
      <c r="G49" t="s">
        <v>839</v>
      </c>
      <c r="H49" s="83">
        <f>AI_Models!O107</f>
        <v>20</v>
      </c>
      <c r="I49" s="2">
        <v>1</v>
      </c>
      <c r="J49" s="83">
        <f>H49*I49</f>
        <v>20</v>
      </c>
      <c r="K49" s="130">
        <f>J49</f>
        <v>20</v>
      </c>
      <c r="L49" s="128">
        <f>AI_Models!J107</f>
        <v>258000</v>
      </c>
      <c r="M49" s="2">
        <f>AI_Models!K107</f>
        <v>151575</v>
      </c>
      <c r="N49" s="448">
        <f>AI_Models!L107</f>
        <v>3.2000000000000001E-2</v>
      </c>
      <c r="O49" s="188">
        <f>AI_Models!AA107</f>
        <v>0.2</v>
      </c>
      <c r="P49" s="34" t="s">
        <v>45</v>
      </c>
      <c r="Q49" s="34" t="s">
        <v>45</v>
      </c>
      <c r="R49" s="108" t="s">
        <v>45</v>
      </c>
      <c r="S49" s="108">
        <f>AI_Models!N107</f>
        <v>12900</v>
      </c>
      <c r="T49" s="183" t="s">
        <v>45</v>
      </c>
      <c r="U49" s="183">
        <f>S49/(K49)</f>
        <v>645</v>
      </c>
      <c r="V49" s="642">
        <f>V$10*(R$10/S49)</f>
        <v>54418.604651162786</v>
      </c>
      <c r="W49">
        <f t="shared" si="1"/>
        <v>41</v>
      </c>
    </row>
    <row r="50" spans="2:25" ht="15" thickBot="1" x14ac:dyDescent="0.4">
      <c r="B50">
        <f t="shared" si="0"/>
        <v>42</v>
      </c>
      <c r="C50" s="23" t="str">
        <f>AI_Models!C110</f>
        <v>Dog/wolf brain 4.1% of human brain - Life 2.0</v>
      </c>
      <c r="D50" s="34" t="str">
        <f>AI_Models!D110</f>
        <v>2,500,000BC</v>
      </c>
      <c r="E50" s="34" t="str">
        <f>AI_Models!D110</f>
        <v>2,500,000BC</v>
      </c>
      <c r="F50" t="str">
        <f>AI_Models!E110</f>
        <v>Motion, sensing, thought, etc.</v>
      </c>
      <c r="G50" t="s">
        <v>977</v>
      </c>
      <c r="H50" s="83">
        <f>AI_Models!O110</f>
        <v>0.82093023255813957</v>
      </c>
      <c r="I50" s="2">
        <v>1</v>
      </c>
      <c r="J50" s="83">
        <f>H50*I50</f>
        <v>0.82093023255813957</v>
      </c>
      <c r="K50" s="130">
        <f>J50</f>
        <v>0.82093023255813957</v>
      </c>
      <c r="L50" s="128">
        <f>AI_Models!J110</f>
        <v>10590</v>
      </c>
      <c r="M50" s="2">
        <f>AI_Models!K110</f>
        <v>6221.625</v>
      </c>
      <c r="N50" s="448">
        <f>AI_Models!L110</f>
        <v>3.2000000000000001E-2</v>
      </c>
      <c r="O50" s="404" t="s">
        <v>18</v>
      </c>
      <c r="P50" s="34" t="s">
        <v>45</v>
      </c>
      <c r="Q50" s="34" t="s">
        <v>45</v>
      </c>
      <c r="R50" s="108" t="s">
        <v>45</v>
      </c>
      <c r="S50" s="108">
        <f>AI_Models!N110</f>
        <v>529.5</v>
      </c>
      <c r="T50" s="183" t="s">
        <v>45</v>
      </c>
      <c r="U50" s="183">
        <f>S50/(K50)</f>
        <v>645</v>
      </c>
      <c r="V50" s="642">
        <f>V$10*(R$10/S50)</f>
        <v>1325779.0368271954</v>
      </c>
      <c r="W50">
        <f t="shared" si="1"/>
        <v>42</v>
      </c>
    </row>
    <row r="51" spans="2:25" ht="21.5" thickTop="1" x14ac:dyDescent="0.5">
      <c r="B51">
        <f t="shared" si="0"/>
        <v>43</v>
      </c>
      <c r="C51" s="702" t="str">
        <f>KeyChips!C75</f>
        <v xml:space="preserve">Likely minimum specs for human level AGI capable computer </v>
      </c>
      <c r="D51" s="463"/>
      <c r="E51" s="463"/>
      <c r="F51" s="461"/>
      <c r="G51" s="461"/>
      <c r="H51" s="475"/>
      <c r="I51" s="462"/>
      <c r="J51" s="475"/>
      <c r="K51" s="474"/>
      <c r="L51" s="462"/>
      <c r="M51" s="462"/>
      <c r="N51" s="629"/>
      <c r="O51" s="623"/>
      <c r="P51" s="463"/>
      <c r="Q51" s="463"/>
      <c r="R51" s="463"/>
      <c r="S51" s="463"/>
      <c r="T51" s="630"/>
      <c r="U51" s="630"/>
      <c r="V51" s="644"/>
      <c r="W51">
        <f t="shared" si="1"/>
        <v>43</v>
      </c>
    </row>
    <row r="52" spans="2:25" x14ac:dyDescent="0.35">
      <c r="B52">
        <f t="shared" si="0"/>
        <v>44</v>
      </c>
      <c r="C52" s="23" t="str">
        <f>KeyChips!C76</f>
        <v>Min. AGI inference computer if B100 +40TB HBM is required</v>
      </c>
      <c r="D52" s="7" t="s">
        <v>18</v>
      </c>
      <c r="E52" s="7" t="str">
        <f>KeyChips!D76</f>
        <v>Doable 2025</v>
      </c>
      <c r="F52" s="37" t="str">
        <f>KeyChips!E76</f>
        <v>Likely minimum computer to run AGI</v>
      </c>
      <c r="G52" s="37">
        <f>KeyChips!F76</f>
        <v>1</v>
      </c>
      <c r="H52" s="34">
        <f>KeyChips!T76</f>
        <v>20700</v>
      </c>
      <c r="I52" s="34">
        <v>1</v>
      </c>
      <c r="J52" s="34">
        <f>H52*I52</f>
        <v>20700</v>
      </c>
      <c r="K52" s="2">
        <f>J52</f>
        <v>20700</v>
      </c>
      <c r="L52" s="128">
        <f>M52*(1/L$58)</f>
        <v>66986.666666666672</v>
      </c>
      <c r="M52" s="34">
        <f>KeyChips!J76</f>
        <v>40192</v>
      </c>
      <c r="N52" s="128">
        <f>KeyChips!M76</f>
        <v>8000</v>
      </c>
      <c r="O52" s="631">
        <f>KeyChips!P76/Y2</f>
        <v>0.4325</v>
      </c>
      <c r="P52" s="34">
        <f>KeyChips!U76</f>
        <v>60</v>
      </c>
      <c r="Q52" s="2">
        <f>KeyChips!V76</f>
        <v>3500</v>
      </c>
      <c r="R52" s="128">
        <f>KeyChips!W76</f>
        <v>7000</v>
      </c>
      <c r="S52" s="128">
        <f>KeyChips!X76</f>
        <v>14000</v>
      </c>
      <c r="T52" s="183" t="s">
        <v>45</v>
      </c>
      <c r="U52" s="119">
        <f>S52/K52</f>
        <v>0.67632850241545894</v>
      </c>
      <c r="V52" s="642">
        <f>V$10*(R$10/S52)</f>
        <v>50142.857142857138</v>
      </c>
      <c r="W52">
        <f t="shared" si="1"/>
        <v>44</v>
      </c>
      <c r="Y52" s="2"/>
    </row>
    <row r="53" spans="2:25" x14ac:dyDescent="0.35">
      <c r="B53">
        <f t="shared" si="0"/>
        <v>45</v>
      </c>
      <c r="C53" s="23" t="str">
        <f>KeyChips!C77</f>
        <v>Min. AGI inference computer if B100 +4TB HBM is required</v>
      </c>
      <c r="D53" s="7" t="s">
        <v>18</v>
      </c>
      <c r="E53" s="7" t="str">
        <f>KeyChips!D77</f>
        <v>Doable 2025</v>
      </c>
      <c r="F53" s="37" t="str">
        <f>KeyChips!E77</f>
        <v>Likely minimum computer to run AGI</v>
      </c>
      <c r="G53" s="37">
        <f>KeyChips!F77</f>
        <v>1</v>
      </c>
      <c r="H53" s="34">
        <f>KeyChips!T77</f>
        <v>2700</v>
      </c>
      <c r="I53" s="34">
        <v>2</v>
      </c>
      <c r="J53" s="34">
        <f>H53*I53</f>
        <v>5400</v>
      </c>
      <c r="K53" s="2">
        <f>J53</f>
        <v>5400</v>
      </c>
      <c r="L53" s="128">
        <f>M53*(1/L$58)</f>
        <v>6986.666666666667</v>
      </c>
      <c r="M53" s="34">
        <f>KeyChips!J77</f>
        <v>4192</v>
      </c>
      <c r="N53" s="128">
        <f>KeyChips!M77</f>
        <v>8000</v>
      </c>
      <c r="O53" s="631">
        <f>KeyChips!P77/Y2</f>
        <v>7.2499999999999995E-2</v>
      </c>
      <c r="P53" s="34">
        <f>KeyChips!U77</f>
        <v>60</v>
      </c>
      <c r="Q53" s="2">
        <f>KeyChips!V77</f>
        <v>3500</v>
      </c>
      <c r="R53" s="128">
        <f>KeyChips!W77</f>
        <v>7000</v>
      </c>
      <c r="S53" s="128">
        <f>KeyChips!X77</f>
        <v>14000</v>
      </c>
      <c r="T53" s="183" t="s">
        <v>45</v>
      </c>
      <c r="U53" s="119">
        <f>S53/K53</f>
        <v>2.5925925925925926</v>
      </c>
      <c r="V53" s="642">
        <f>V$10*(R$10/S53)</f>
        <v>50142.857142857138</v>
      </c>
      <c r="W53">
        <f t="shared" si="1"/>
        <v>45</v>
      </c>
      <c r="Y53" s="2"/>
    </row>
    <row r="54" spans="2:25" ht="15" thickBot="1" x14ac:dyDescent="0.4">
      <c r="B54">
        <f t="shared" si="0"/>
        <v>46</v>
      </c>
      <c r="C54" s="27" t="str">
        <f>KeyChips!C78</f>
        <v>15*4 TB SSD disks doing 7.4GB/s each</v>
      </c>
      <c r="D54" s="669">
        <v>2024</v>
      </c>
      <c r="E54" s="669" t="str">
        <f>KeyChips!D78</f>
        <v>Reality 2024</v>
      </c>
      <c r="F54" s="416" t="str">
        <f>KeyChips!E78</f>
        <v>SSD for minimum AGI, 6.1 min. boot time</v>
      </c>
      <c r="G54" s="416"/>
      <c r="H54" s="673">
        <v>10</v>
      </c>
      <c r="I54" s="673">
        <v>15</v>
      </c>
      <c r="J54" s="673">
        <f>H54*I54</f>
        <v>150</v>
      </c>
      <c r="K54" s="684">
        <f>J54</f>
        <v>150</v>
      </c>
      <c r="L54" s="671" t="s">
        <v>45</v>
      </c>
      <c r="M54" s="673">
        <f>KeyChips!J78</f>
        <v>60000</v>
      </c>
      <c r="N54" s="685">
        <f>KeyChips!M78</f>
        <v>111</v>
      </c>
      <c r="O54" s="686">
        <f>KeyChips!P78/Y2</f>
        <v>4.0350000000000004E-3</v>
      </c>
      <c r="P54" s="673" t="s">
        <v>45</v>
      </c>
      <c r="Q54" s="673" t="s">
        <v>45</v>
      </c>
      <c r="R54" s="671" t="s">
        <v>45</v>
      </c>
      <c r="S54" s="671" t="s">
        <v>45</v>
      </c>
      <c r="T54" s="687" t="s">
        <v>45</v>
      </c>
      <c r="U54" s="687" t="s">
        <v>45</v>
      </c>
      <c r="V54" s="688" t="s">
        <v>45</v>
      </c>
      <c r="W54">
        <f t="shared" si="1"/>
        <v>46</v>
      </c>
      <c r="Y54" s="2"/>
    </row>
    <row r="55" spans="2:25" ht="15" thickTop="1" x14ac:dyDescent="0.35">
      <c r="C55" s="44"/>
      <c r="D55" s="31"/>
      <c r="E55" s="31"/>
      <c r="F55" s="31"/>
      <c r="G55" s="31"/>
      <c r="H55" s="31"/>
      <c r="I55" s="31"/>
      <c r="J55" s="31"/>
      <c r="K55" s="31"/>
      <c r="L55" s="31"/>
      <c r="M55" s="31"/>
      <c r="N55" s="31"/>
      <c r="O55" s="31"/>
      <c r="P55" s="31"/>
      <c r="Q55" s="31"/>
      <c r="R55" s="31"/>
      <c r="S55" s="31"/>
      <c r="T55" s="31"/>
      <c r="U55" s="31"/>
      <c r="V55" s="31"/>
    </row>
    <row r="56" spans="2:25" x14ac:dyDescent="0.35">
      <c r="K56" s="6"/>
      <c r="L56">
        <f>AI_Models!$J$174</f>
        <v>2.4</v>
      </c>
      <c r="M56" t="s">
        <v>2386</v>
      </c>
      <c r="N56" t="s">
        <v>105</v>
      </c>
      <c r="O56" s="14" t="s">
        <v>804</v>
      </c>
      <c r="P56" s="6"/>
      <c r="Q56" s="6"/>
      <c r="R56" s="6"/>
      <c r="S56" s="6"/>
      <c r="T56" s="12"/>
      <c r="U56" s="12"/>
      <c r="V56" s="12"/>
      <c r="W56" s="8"/>
    </row>
    <row r="57" spans="2:25" x14ac:dyDescent="0.35">
      <c r="F57">
        <v>1</v>
      </c>
      <c r="G57" s="145" t="s">
        <v>554</v>
      </c>
      <c r="K57" s="6"/>
      <c r="L57">
        <f>AI_Models!$J$175</f>
        <v>1.2</v>
      </c>
      <c r="M57" t="s">
        <v>2387</v>
      </c>
      <c r="N57" s="8" t="s">
        <v>45</v>
      </c>
      <c r="P57" s="6"/>
      <c r="Q57" s="6"/>
      <c r="R57" s="6"/>
      <c r="S57" s="6"/>
      <c r="T57" s="12"/>
      <c r="U57" s="12"/>
      <c r="V57" s="12"/>
      <c r="W57" s="8"/>
    </row>
    <row r="58" spans="2:25" x14ac:dyDescent="0.35">
      <c r="F58">
        <v>31</v>
      </c>
      <c r="G58" s="145" t="s">
        <v>555</v>
      </c>
      <c r="K58" s="6"/>
      <c r="L58">
        <f>AI_Models!$J$176</f>
        <v>0.6</v>
      </c>
      <c r="M58" t="s">
        <v>2388</v>
      </c>
      <c r="N58" s="8" t="s">
        <v>45</v>
      </c>
      <c r="P58" s="6"/>
      <c r="Q58" s="6"/>
      <c r="R58" s="6"/>
      <c r="S58" s="6"/>
      <c r="T58" s="12"/>
      <c r="U58" s="12"/>
      <c r="V58" s="12"/>
      <c r="W58" s="8"/>
    </row>
    <row r="59" spans="2:25" x14ac:dyDescent="0.35">
      <c r="F59">
        <f>F58*24</f>
        <v>744</v>
      </c>
      <c r="G59" s="145" t="s">
        <v>556</v>
      </c>
      <c r="K59" s="6"/>
      <c r="P59" s="6"/>
      <c r="Q59" s="6"/>
      <c r="R59" s="6"/>
      <c r="S59" s="6"/>
      <c r="U59" s="12"/>
      <c r="V59" s="12"/>
      <c r="W59" s="8"/>
    </row>
    <row r="60" spans="2:25" ht="24" thickBot="1" x14ac:dyDescent="0.6">
      <c r="C60" s="11" t="s">
        <v>38</v>
      </c>
      <c r="U60" s="12"/>
      <c r="V60" s="12"/>
      <c r="W60" s="8"/>
    </row>
    <row r="61" spans="2:25" ht="15" thickTop="1" x14ac:dyDescent="0.35">
      <c r="C61" s="18" t="str">
        <f t="shared" ref="C61:V61" si="21">C6</f>
        <v>AI supercomputer</v>
      </c>
      <c r="D61" s="19" t="str">
        <f t="shared" si="21"/>
        <v xml:space="preserve">Year </v>
      </c>
      <c r="E61" s="19" t="str">
        <f t="shared" si="21"/>
        <v>Year</v>
      </c>
      <c r="F61" s="19" t="str">
        <f t="shared" si="21"/>
        <v>Main use</v>
      </c>
      <c r="G61" s="19" t="str">
        <f t="shared" si="21"/>
        <v xml:space="preserve">Name of </v>
      </c>
      <c r="H61" s="19" t="str">
        <f t="shared" si="21"/>
        <v>Watt</v>
      </c>
      <c r="I61" s="19" t="str">
        <f t="shared" si="21"/>
        <v xml:space="preserve"># of </v>
      </c>
      <c r="J61" s="19" t="str">
        <f t="shared" si="21"/>
        <v>Power</v>
      </c>
      <c r="K61" s="19" t="str">
        <f t="shared" si="21"/>
        <v>Power</v>
      </c>
      <c r="L61" s="19" t="str">
        <f t="shared" si="21"/>
        <v>Max AI model</v>
      </c>
      <c r="M61" s="19" t="str">
        <f t="shared" si="21"/>
        <v>Associated</v>
      </c>
      <c r="N61" s="19" t="str">
        <f t="shared" si="21"/>
        <v>Memory</v>
      </c>
      <c r="O61" s="19" t="str">
        <f t="shared" si="21"/>
        <v>Price of</v>
      </c>
      <c r="P61" s="19" t="str">
        <f t="shared" si="21"/>
        <v>TFLOPS</v>
      </c>
      <c r="Q61" s="19" t="str">
        <f t="shared" si="21"/>
        <v>TFLOPS</v>
      </c>
      <c r="R61" s="19" t="str">
        <f t="shared" si="21"/>
        <v>TFLOPS</v>
      </c>
      <c r="S61" s="19" t="str">
        <f t="shared" si="21"/>
        <v>TFLOPS</v>
      </c>
      <c r="T61" s="19" t="str">
        <f t="shared" si="21"/>
        <v>TFLOPS</v>
      </c>
      <c r="U61" s="19" t="str">
        <f t="shared" si="21"/>
        <v>TFLOPS per</v>
      </c>
      <c r="V61" s="20" t="str">
        <f t="shared" si="21"/>
        <v>Time to train</v>
      </c>
      <c r="Y61" t="s">
        <v>129</v>
      </c>
    </row>
    <row r="62" spans="2:25" x14ac:dyDescent="0.35">
      <c r="C62" s="21" t="str">
        <f>C7</f>
        <v>name</v>
      </c>
      <c r="D62" s="13" t="str">
        <f>D7</f>
        <v>announced</v>
      </c>
      <c r="E62" s="13" t="str">
        <f>E7</f>
        <v>operational</v>
      </c>
      <c r="F62" s="13"/>
      <c r="G62" s="13" t="str">
        <f t="shared" ref="G62:V62" si="22">G7</f>
        <v>chips</v>
      </c>
      <c r="H62" s="13" t="str">
        <f t="shared" si="22"/>
        <v>per</v>
      </c>
      <c r="I62" s="13" t="str">
        <f t="shared" si="22"/>
        <v>chips</v>
      </c>
      <c r="J62" s="13" t="str">
        <f t="shared" si="22"/>
        <v>in watt</v>
      </c>
      <c r="K62" s="13" t="str">
        <f t="shared" si="22"/>
        <v>in watt</v>
      </c>
      <c r="L62" s="13" t="str">
        <f t="shared" si="22"/>
        <v>in billion</v>
      </c>
      <c r="M62" s="13" t="str">
        <f t="shared" si="22"/>
        <v>cluster memory</v>
      </c>
      <c r="N62" s="13" t="str">
        <f t="shared" si="22"/>
        <v>bandwidth</v>
      </c>
      <c r="O62" s="13" t="str">
        <f t="shared" si="22"/>
        <v>supercomputer</v>
      </c>
      <c r="P62" s="13" t="str">
        <f t="shared" si="22"/>
        <v>FP32</v>
      </c>
      <c r="Q62" s="13" t="str">
        <f t="shared" si="22"/>
        <v>FP16</v>
      </c>
      <c r="R62" s="13" t="str">
        <f t="shared" si="22"/>
        <v>FP8/BF16</v>
      </c>
      <c r="S62" s="13" t="str">
        <f t="shared" si="22"/>
        <v>FP4</v>
      </c>
      <c r="T62" s="13" t="str">
        <f t="shared" si="22"/>
        <v>per Watt</v>
      </c>
      <c r="U62" s="13" t="str">
        <f t="shared" si="22"/>
        <v>watt system</v>
      </c>
      <c r="V62" s="22" t="str">
        <f t="shared" si="22"/>
        <v>GPT-4 model</v>
      </c>
    </row>
    <row r="63" spans="2:25" ht="15" thickBot="1" x14ac:dyDescent="0.4">
      <c r="C63" s="181"/>
      <c r="D63" s="173" t="str">
        <f>D8</f>
        <v>expected</v>
      </c>
      <c r="E63" s="173" t="str">
        <f>E8</f>
        <v>expected</v>
      </c>
      <c r="F63" s="173"/>
      <c r="G63" s="173" t="str">
        <f t="shared" ref="G63:V63" si="23">G8</f>
        <v>used</v>
      </c>
      <c r="H63" s="173" t="str">
        <f t="shared" si="23"/>
        <v>chip</v>
      </c>
      <c r="I63" s="173" t="str">
        <f t="shared" si="23"/>
        <v>used</v>
      </c>
      <c r="J63" s="173" t="str">
        <f t="shared" si="23"/>
        <v>chips only</v>
      </c>
      <c r="K63" s="173" t="str">
        <f t="shared" si="23"/>
        <v>system</v>
      </c>
      <c r="L63" s="173" t="str">
        <f t="shared" si="23"/>
        <v>parameters. Note supercomputers will never be used to run a single AI model/system at the size of its combined memory because real world AI models/systems are much smaller than that. However, in principle they could. The calculation of potential AI model parameters is made to make comparison with human brain making it crystal clear that human brains are already dwarfed by the power of supercomputers. Supercomputers use their full power only for training AI models. For inference supercomputers are instead reconfigured as a cluster of many smaller computers that each run an instance of the AI model/system in mind.</v>
      </c>
      <c r="M63" s="173" t="str">
        <f t="shared" si="23"/>
        <v>HBM in GB</v>
      </c>
      <c r="N63" s="173" t="str">
        <f t="shared" si="23"/>
        <v>GB/s</v>
      </c>
      <c r="O63" s="173" t="str">
        <f t="shared" si="23"/>
        <v>million USD</v>
      </c>
      <c r="P63" s="173" t="str">
        <f t="shared" si="23"/>
        <v>CPU</v>
      </c>
      <c r="Q63" s="173" t="str">
        <f t="shared" si="23"/>
        <v xml:space="preserve"> AI computation</v>
      </c>
      <c r="R63" s="173" t="str">
        <f t="shared" si="23"/>
        <v xml:space="preserve"> AI computation</v>
      </c>
      <c r="S63" s="173" t="str">
        <f t="shared" si="23"/>
        <v xml:space="preserve"> AI computation</v>
      </c>
      <c r="T63" s="173" t="str">
        <f t="shared" si="23"/>
        <v>system FP32</v>
      </c>
      <c r="U63" s="173" t="str">
        <f t="shared" si="23"/>
        <v>using best FP</v>
      </c>
      <c r="V63" s="182" t="str">
        <f t="shared" si="23"/>
        <v>in days</v>
      </c>
    </row>
    <row r="64" spans="2:25" ht="21.5" thickTop="1" x14ac:dyDescent="0.5">
      <c r="B64">
        <v>1</v>
      </c>
      <c r="C64" s="699" t="str">
        <f>C9</f>
        <v>Super computers used for training or estimation of parameters in AI models (same super computers are also used for inference at datacenters when they are not used for training runs)</v>
      </c>
      <c r="D64" s="210"/>
      <c r="E64" s="210"/>
      <c r="F64" s="210"/>
      <c r="G64" s="210"/>
      <c r="H64" s="210"/>
      <c r="I64" s="210"/>
      <c r="J64" s="210"/>
      <c r="K64" s="210"/>
      <c r="L64" s="210"/>
      <c r="M64" s="210"/>
      <c r="N64" s="210"/>
      <c r="O64" s="210"/>
      <c r="P64" s="210"/>
      <c r="Q64" s="210"/>
      <c r="R64" s="210"/>
      <c r="S64" s="210"/>
      <c r="T64" s="210"/>
      <c r="U64" s="210"/>
      <c r="V64" s="211"/>
      <c r="W64">
        <v>1</v>
      </c>
    </row>
    <row r="65" spans="2:26" x14ac:dyDescent="0.35">
      <c r="B65">
        <f t="shared" ref="B65:B109" si="24">B64+1</f>
        <v>2</v>
      </c>
      <c r="C65" s="23" t="str">
        <f>C10</f>
        <v>OpenAI GPT-4 training cluster</v>
      </c>
      <c r="D65" s="246" t="s">
        <v>440</v>
      </c>
      <c r="E65" s="510" t="s">
        <v>500</v>
      </c>
      <c r="F65" s="511" t="s">
        <v>168</v>
      </c>
      <c r="G65" s="511" t="s">
        <v>440</v>
      </c>
      <c r="H65" s="510" t="s">
        <v>225</v>
      </c>
      <c r="I65" s="512" t="s">
        <v>440</v>
      </c>
      <c r="J65" s="513" t="s">
        <v>135</v>
      </c>
      <c r="K65" s="513" t="s">
        <v>135</v>
      </c>
      <c r="L65" s="106" t="s">
        <v>135</v>
      </c>
      <c r="M65" s="513" t="s">
        <v>135</v>
      </c>
      <c r="N65" s="106" t="s">
        <v>459</v>
      </c>
      <c r="O65" s="514" t="s">
        <v>135</v>
      </c>
      <c r="P65" s="514" t="s">
        <v>135</v>
      </c>
      <c r="Q65" s="515" t="s">
        <v>135</v>
      </c>
      <c r="R65" s="154" t="s">
        <v>135</v>
      </c>
      <c r="S65" s="527" t="s">
        <v>45</v>
      </c>
      <c r="T65" s="514" t="s">
        <v>135</v>
      </c>
      <c r="U65" s="514" t="s">
        <v>135</v>
      </c>
      <c r="V65" s="516" t="s">
        <v>440</v>
      </c>
      <c r="W65">
        <f t="shared" ref="W65:W109" si="25">W64+1</f>
        <v>2</v>
      </c>
      <c r="Y65" t="s">
        <v>193</v>
      </c>
      <c r="Z65" t="s">
        <v>45</v>
      </c>
    </row>
    <row r="66" spans="2:26" x14ac:dyDescent="0.35">
      <c r="B66">
        <f t="shared" si="24"/>
        <v>3</v>
      </c>
      <c r="C66" s="23" t="str">
        <f>C11</f>
        <v>Nvidia DGX GH200</v>
      </c>
      <c r="D66" s="39" t="s">
        <v>92</v>
      </c>
      <c r="E66" s="131" t="s">
        <v>398</v>
      </c>
      <c r="G66" t="s">
        <v>92</v>
      </c>
      <c r="H66" s="39" t="s">
        <v>91</v>
      </c>
      <c r="I66" s="39" t="s">
        <v>92</v>
      </c>
      <c r="J66" s="145" t="s">
        <v>135</v>
      </c>
      <c r="K66" s="145" t="s">
        <v>135</v>
      </c>
      <c r="L66" s="106" t="s">
        <v>377</v>
      </c>
      <c r="M66" s="39" t="s">
        <v>92</v>
      </c>
      <c r="N66" s="106" t="s">
        <v>459</v>
      </c>
      <c r="O66" s="38" t="s">
        <v>135</v>
      </c>
      <c r="P66" s="38" t="s">
        <v>135</v>
      </c>
      <c r="Q66" s="228" t="s">
        <v>91</v>
      </c>
      <c r="R66" s="154" t="s">
        <v>135</v>
      </c>
      <c r="S66" s="106" t="s">
        <v>225</v>
      </c>
      <c r="T66" s="38" t="s">
        <v>135</v>
      </c>
      <c r="U66" s="38" t="s">
        <v>135</v>
      </c>
      <c r="V66" s="45" t="s">
        <v>135</v>
      </c>
      <c r="W66">
        <f t="shared" si="25"/>
        <v>3</v>
      </c>
    </row>
    <row r="67" spans="2:26" x14ac:dyDescent="0.35">
      <c r="B67">
        <f t="shared" si="24"/>
        <v>4</v>
      </c>
      <c r="C67" s="23" t="str">
        <f>C12</f>
        <v>Nvidia GB200 NVL72 training cluster 1 rack</v>
      </c>
      <c r="D67" s="39" t="s">
        <v>721</v>
      </c>
      <c r="E67" s="39" t="s">
        <v>722</v>
      </c>
      <c r="F67" s="39" t="s">
        <v>723</v>
      </c>
      <c r="G67" s="39" t="s">
        <v>724</v>
      </c>
      <c r="H67" s="39" t="s">
        <v>796</v>
      </c>
      <c r="I67" s="39" t="s">
        <v>725</v>
      </c>
      <c r="J67" s="39" t="s">
        <v>726</v>
      </c>
      <c r="K67" s="39" t="s">
        <v>727</v>
      </c>
      <c r="L67" s="96" t="s">
        <v>729</v>
      </c>
      <c r="M67" s="39" t="s">
        <v>728</v>
      </c>
      <c r="N67" s="96" t="s">
        <v>730</v>
      </c>
      <c r="O67" s="38" t="s">
        <v>135</v>
      </c>
      <c r="P67" s="38" t="s">
        <v>135</v>
      </c>
      <c r="Q67" s="39" t="s">
        <v>731</v>
      </c>
      <c r="R67" s="154" t="s">
        <v>135</v>
      </c>
      <c r="S67" s="106" t="s">
        <v>225</v>
      </c>
      <c r="T67" s="38" t="s">
        <v>135</v>
      </c>
      <c r="U67" s="38" t="s">
        <v>135</v>
      </c>
      <c r="V67" s="45" t="s">
        <v>135</v>
      </c>
      <c r="W67">
        <f t="shared" si="25"/>
        <v>4</v>
      </c>
    </row>
    <row r="68" spans="2:26" x14ac:dyDescent="0.35">
      <c r="B68">
        <f t="shared" si="24"/>
        <v>5</v>
      </c>
      <c r="C68" s="23" t="str">
        <f>C13</f>
        <v>Nvidia GB300 NVL72 training cluster 1 rack</v>
      </c>
      <c r="D68" s="39" t="s">
        <v>2899</v>
      </c>
      <c r="E68" s="39" t="s">
        <v>2899</v>
      </c>
      <c r="F68" s="39" t="s">
        <v>45</v>
      </c>
      <c r="G68" s="39"/>
      <c r="H68" s="39"/>
      <c r="I68" s="39" t="s">
        <v>2901</v>
      </c>
      <c r="J68" s="39" t="s">
        <v>45</v>
      </c>
      <c r="K68" s="39"/>
      <c r="L68" s="106" t="s">
        <v>135</v>
      </c>
      <c r="M68" s="145" t="s">
        <v>135</v>
      </c>
      <c r="N68" s="96"/>
      <c r="O68" s="38"/>
      <c r="P68" s="38"/>
      <c r="Q68" s="39"/>
      <c r="R68" s="1015" t="s">
        <v>2899</v>
      </c>
      <c r="S68" s="106" t="s">
        <v>2899</v>
      </c>
      <c r="T68" s="38" t="s">
        <v>45</v>
      </c>
      <c r="U68" s="38"/>
      <c r="V68" s="45"/>
      <c r="W68">
        <f t="shared" si="25"/>
        <v>5</v>
      </c>
    </row>
    <row r="69" spans="2:26" x14ac:dyDescent="0.35">
      <c r="B69">
        <f t="shared" si="24"/>
        <v>6</v>
      </c>
      <c r="C69" s="23" t="str">
        <f>C14</f>
        <v>Nvidia GR200 NVL144 training cluster 1 rack</v>
      </c>
      <c r="D69" s="39" t="s">
        <v>2896</v>
      </c>
      <c r="E69" s="39" t="s">
        <v>2896</v>
      </c>
      <c r="F69" s="39" t="s">
        <v>45</v>
      </c>
      <c r="G69" s="39"/>
      <c r="H69" s="39"/>
      <c r="I69" s="39" t="s">
        <v>2896</v>
      </c>
      <c r="J69" s="39" t="s">
        <v>45</v>
      </c>
      <c r="K69" s="39"/>
      <c r="L69" s="106" t="s">
        <v>135</v>
      </c>
      <c r="M69" s="145" t="s">
        <v>135</v>
      </c>
      <c r="N69" s="96"/>
      <c r="O69" s="38"/>
      <c r="P69" s="38"/>
      <c r="Q69" s="39"/>
      <c r="R69" s="154" t="s">
        <v>2896</v>
      </c>
      <c r="S69" s="96" t="s">
        <v>2896</v>
      </c>
      <c r="T69" s="38" t="s">
        <v>45</v>
      </c>
      <c r="U69" s="38"/>
      <c r="V69" s="45"/>
      <c r="W69">
        <f t="shared" si="25"/>
        <v>6</v>
      </c>
    </row>
    <row r="70" spans="2:26" x14ac:dyDescent="0.35">
      <c r="B70">
        <f t="shared" si="24"/>
        <v>7</v>
      </c>
      <c r="C70" s="23" t="str">
        <f>C15</f>
        <v>Nvidia GR300 Ultra NVL576 training cluster 1 rack</v>
      </c>
      <c r="D70" s="39" t="s">
        <v>2908</v>
      </c>
      <c r="E70" s="39" t="s">
        <v>2908</v>
      </c>
      <c r="F70" s="39" t="s">
        <v>45</v>
      </c>
      <c r="G70" s="39"/>
      <c r="H70" s="39"/>
      <c r="I70" s="39" t="s">
        <v>2908</v>
      </c>
      <c r="J70" s="39" t="s">
        <v>2914</v>
      </c>
      <c r="K70" s="39" t="s">
        <v>45</v>
      </c>
      <c r="L70" s="106" t="s">
        <v>135</v>
      </c>
      <c r="M70" s="145"/>
      <c r="N70" s="96"/>
      <c r="O70" s="38"/>
      <c r="P70" s="38"/>
      <c r="Q70" s="39"/>
      <c r="R70" s="154"/>
      <c r="S70" s="96"/>
      <c r="T70" s="38"/>
      <c r="U70" s="38"/>
      <c r="V70" s="45"/>
      <c r="W70">
        <f t="shared" si="25"/>
        <v>7</v>
      </c>
    </row>
    <row r="71" spans="2:26" x14ac:dyDescent="0.35">
      <c r="B71">
        <f t="shared" si="24"/>
        <v>8</v>
      </c>
      <c r="C71" s="23" t="str">
        <f>C16</f>
        <v xml:space="preserve">Nvidia max config with Spectrum X800 </v>
      </c>
      <c r="D71" s="39" t="s">
        <v>732</v>
      </c>
      <c r="E71" s="39" t="s">
        <v>733</v>
      </c>
      <c r="F71" s="39" t="s">
        <v>734</v>
      </c>
      <c r="G71" s="39" t="s">
        <v>735</v>
      </c>
      <c r="H71" s="39" t="s">
        <v>736</v>
      </c>
      <c r="I71" s="39" t="s">
        <v>737</v>
      </c>
      <c r="J71" s="39" t="s">
        <v>738</v>
      </c>
      <c r="K71" s="39" t="s">
        <v>739</v>
      </c>
      <c r="L71" s="96" t="s">
        <v>741</v>
      </c>
      <c r="M71" s="39" t="s">
        <v>740</v>
      </c>
      <c r="N71" s="96" t="s">
        <v>742</v>
      </c>
      <c r="O71" s="39" t="s">
        <v>743</v>
      </c>
      <c r="P71" s="39" t="s">
        <v>744</v>
      </c>
      <c r="Q71" s="39" t="s">
        <v>745</v>
      </c>
      <c r="R71" s="154" t="s">
        <v>135</v>
      </c>
      <c r="S71" s="106" t="s">
        <v>225</v>
      </c>
      <c r="T71" s="38" t="s">
        <v>135</v>
      </c>
      <c r="U71" s="38" t="s">
        <v>135</v>
      </c>
      <c r="V71" s="45" t="s">
        <v>135</v>
      </c>
      <c r="W71">
        <f t="shared" si="25"/>
        <v>8</v>
      </c>
    </row>
    <row r="72" spans="2:26" x14ac:dyDescent="0.35">
      <c r="B72">
        <f t="shared" si="24"/>
        <v>9</v>
      </c>
      <c r="C72" s="23" t="str">
        <f>C17</f>
        <v>Nvidia Spectrum X800 ultra</v>
      </c>
      <c r="D72" s="39" t="s">
        <v>783</v>
      </c>
      <c r="E72" s="39" t="s">
        <v>783</v>
      </c>
      <c r="F72" s="39" t="s">
        <v>783</v>
      </c>
      <c r="G72" s="145" t="s">
        <v>784</v>
      </c>
      <c r="H72" s="145" t="s">
        <v>225</v>
      </c>
      <c r="I72" s="39" t="s">
        <v>783</v>
      </c>
      <c r="J72" s="39"/>
      <c r="K72" s="145" t="s">
        <v>135</v>
      </c>
      <c r="L72" s="106" t="s">
        <v>377</v>
      </c>
      <c r="M72" s="145" t="s">
        <v>135</v>
      </c>
      <c r="N72" s="106" t="s">
        <v>459</v>
      </c>
      <c r="O72" s="38" t="s">
        <v>135</v>
      </c>
      <c r="P72" s="38" t="s">
        <v>135</v>
      </c>
      <c r="Q72" s="228" t="s">
        <v>91</v>
      </c>
      <c r="R72" s="154" t="s">
        <v>135</v>
      </c>
      <c r="S72" s="106" t="s">
        <v>225</v>
      </c>
      <c r="T72" s="38" t="s">
        <v>135</v>
      </c>
      <c r="U72" s="38" t="s">
        <v>135</v>
      </c>
      <c r="V72" s="45" t="s">
        <v>135</v>
      </c>
      <c r="W72">
        <f t="shared" si="25"/>
        <v>9</v>
      </c>
    </row>
    <row r="73" spans="2:26" x14ac:dyDescent="0.35">
      <c r="B73">
        <f t="shared" si="24"/>
        <v>10</v>
      </c>
      <c r="C73" s="23" t="str">
        <f>C18</f>
        <v xml:space="preserve">Nvidia Spectrum X1600 </v>
      </c>
      <c r="D73" s="39" t="s">
        <v>783</v>
      </c>
      <c r="E73" s="39" t="s">
        <v>783</v>
      </c>
      <c r="F73" s="39" t="s">
        <v>783</v>
      </c>
      <c r="G73" s="145" t="s">
        <v>785</v>
      </c>
      <c r="H73" s="145" t="s">
        <v>225</v>
      </c>
      <c r="I73" s="39" t="s">
        <v>783</v>
      </c>
      <c r="J73" s="39"/>
      <c r="K73" s="145" t="s">
        <v>135</v>
      </c>
      <c r="L73" s="106" t="s">
        <v>377</v>
      </c>
      <c r="M73" s="145" t="s">
        <v>135</v>
      </c>
      <c r="N73" s="106" t="s">
        <v>459</v>
      </c>
      <c r="O73" s="38" t="s">
        <v>135</v>
      </c>
      <c r="P73" s="38" t="s">
        <v>135</v>
      </c>
      <c r="Q73" s="228" t="s">
        <v>91</v>
      </c>
      <c r="R73" s="154" t="s">
        <v>135</v>
      </c>
      <c r="S73" s="106" t="s">
        <v>225</v>
      </c>
      <c r="T73" s="38" t="s">
        <v>135</v>
      </c>
      <c r="U73" s="38" t="s">
        <v>135</v>
      </c>
      <c r="V73" s="45" t="s">
        <v>135</v>
      </c>
      <c r="W73">
        <f t="shared" si="25"/>
        <v>10</v>
      </c>
    </row>
    <row r="74" spans="2:26" x14ac:dyDescent="0.35">
      <c r="B74">
        <f t="shared" si="24"/>
        <v>11</v>
      </c>
      <c r="C74" s="517" t="str">
        <f>C19</f>
        <v>Likely max supercomputer in 2029 extrapolated using Moore's law on GB200 from 2024</v>
      </c>
      <c r="D74" s="609" t="s">
        <v>45</v>
      </c>
      <c r="E74" s="232" t="s">
        <v>45</v>
      </c>
      <c r="F74" s="232" t="s">
        <v>45</v>
      </c>
      <c r="G74" s="232" t="s">
        <v>45</v>
      </c>
      <c r="H74" s="232" t="s">
        <v>225</v>
      </c>
      <c r="I74" s="232" t="s">
        <v>225</v>
      </c>
      <c r="J74" s="232" t="s">
        <v>135</v>
      </c>
      <c r="K74" s="232" t="s">
        <v>135</v>
      </c>
      <c r="L74" s="232" t="s">
        <v>135</v>
      </c>
      <c r="M74" s="232" t="s">
        <v>225</v>
      </c>
      <c r="N74" s="232" t="s">
        <v>459</v>
      </c>
      <c r="O74" s="232" t="s">
        <v>225</v>
      </c>
      <c r="P74" s="232" t="s">
        <v>225</v>
      </c>
      <c r="Q74" s="232" t="s">
        <v>225</v>
      </c>
      <c r="R74" s="232" t="s">
        <v>225</v>
      </c>
      <c r="S74" s="232" t="s">
        <v>225</v>
      </c>
      <c r="T74" s="525" t="s">
        <v>135</v>
      </c>
      <c r="U74" s="525" t="s">
        <v>135</v>
      </c>
      <c r="V74" s="526" t="s">
        <v>135</v>
      </c>
      <c r="W74">
        <f t="shared" si="25"/>
        <v>11</v>
      </c>
    </row>
    <row r="75" spans="2:26" x14ac:dyDescent="0.35">
      <c r="B75">
        <f t="shared" si="24"/>
        <v>12</v>
      </c>
      <c r="C75" s="517" t="str">
        <f>C20</f>
        <v>Likely max supercomputer in 2035</v>
      </c>
      <c r="D75" s="609" t="s">
        <v>45</v>
      </c>
      <c r="E75" s="232" t="s">
        <v>45</v>
      </c>
      <c r="F75" s="232" t="s">
        <v>45</v>
      </c>
      <c r="G75" s="232" t="s">
        <v>45</v>
      </c>
      <c r="H75" s="232" t="s">
        <v>225</v>
      </c>
      <c r="I75" s="232" t="s">
        <v>225</v>
      </c>
      <c r="J75" s="232" t="s">
        <v>135</v>
      </c>
      <c r="K75" s="232" t="s">
        <v>135</v>
      </c>
      <c r="L75" s="232" t="s">
        <v>135</v>
      </c>
      <c r="M75" s="232" t="s">
        <v>225</v>
      </c>
      <c r="N75" s="232" t="s">
        <v>459</v>
      </c>
      <c r="O75" s="232" t="s">
        <v>225</v>
      </c>
      <c r="P75" s="232" t="s">
        <v>225</v>
      </c>
      <c r="Q75" s="232" t="s">
        <v>225</v>
      </c>
      <c r="R75" s="232" t="s">
        <v>225</v>
      </c>
      <c r="S75" s="232" t="s">
        <v>225</v>
      </c>
      <c r="T75" s="525" t="s">
        <v>135</v>
      </c>
      <c r="U75" s="525" t="s">
        <v>135</v>
      </c>
      <c r="V75" s="526" t="s">
        <v>135</v>
      </c>
      <c r="W75">
        <f t="shared" si="25"/>
        <v>12</v>
      </c>
    </row>
    <row r="76" spans="2:26" x14ac:dyDescent="0.35">
      <c r="B76">
        <f t="shared" si="24"/>
        <v>13</v>
      </c>
      <c r="C76" s="517" t="str">
        <f>C21</f>
        <v>Likely max supercomputer in 2045</v>
      </c>
      <c r="D76" s="609" t="s">
        <v>45</v>
      </c>
      <c r="E76" s="232" t="s">
        <v>45</v>
      </c>
      <c r="F76" s="232" t="s">
        <v>45</v>
      </c>
      <c r="G76" s="232" t="s">
        <v>45</v>
      </c>
      <c r="H76" s="232" t="s">
        <v>225</v>
      </c>
      <c r="I76" s="232" t="s">
        <v>225</v>
      </c>
      <c r="J76" s="232" t="s">
        <v>135</v>
      </c>
      <c r="K76" s="232" t="s">
        <v>135</v>
      </c>
      <c r="L76" s="232" t="s">
        <v>135</v>
      </c>
      <c r="M76" s="232" t="s">
        <v>225</v>
      </c>
      <c r="N76" s="232" t="s">
        <v>459</v>
      </c>
      <c r="O76" s="232" t="s">
        <v>225</v>
      </c>
      <c r="P76" s="232" t="s">
        <v>225</v>
      </c>
      <c r="Q76" s="232" t="s">
        <v>225</v>
      </c>
      <c r="R76" s="232" t="s">
        <v>225</v>
      </c>
      <c r="S76" s="232" t="s">
        <v>225</v>
      </c>
      <c r="T76" s="525" t="s">
        <v>135</v>
      </c>
      <c r="U76" s="525" t="s">
        <v>135</v>
      </c>
      <c r="V76" s="526" t="s">
        <v>135</v>
      </c>
      <c r="W76">
        <f t="shared" si="25"/>
        <v>13</v>
      </c>
    </row>
    <row r="77" spans="2:26" ht="15" thickBot="1" x14ac:dyDescent="0.4">
      <c r="B77">
        <f t="shared" si="24"/>
        <v>14</v>
      </c>
      <c r="C77" s="517" t="str">
        <f>C22</f>
        <v>Artificial super humans -  Life 3.5                                      See sheet Life3.0 for clarification. An artificial species capable of building their own technological civilization without any help from humans. Biological humans will not be able to tell the difference when interacting with an artificial super human until they do something superhuman like running at 40 mph or talking about stuff that humans are incapable of understanding because our brains are too limited for ever being able to understand it.</v>
      </c>
      <c r="D77" s="606" t="s">
        <v>290</v>
      </c>
      <c r="E77" s="606" t="s">
        <v>290</v>
      </c>
      <c r="F77" s="232" t="s">
        <v>834</v>
      </c>
      <c r="G77" s="232" t="s">
        <v>45</v>
      </c>
      <c r="H77" s="232" t="s">
        <v>829</v>
      </c>
      <c r="I77" s="232" t="s">
        <v>1018</v>
      </c>
      <c r="J77" s="232" t="s">
        <v>829</v>
      </c>
      <c r="K77" s="232" t="s">
        <v>829</v>
      </c>
      <c r="L77" s="232" t="s">
        <v>377</v>
      </c>
      <c r="M77" s="232" t="s">
        <v>319</v>
      </c>
      <c r="N77" s="232" t="s">
        <v>459</v>
      </c>
      <c r="O77" s="607" t="s">
        <v>45</v>
      </c>
      <c r="P77" s="232" t="s">
        <v>319</v>
      </c>
      <c r="Q77" s="232" t="s">
        <v>319</v>
      </c>
      <c r="R77" s="232" t="s">
        <v>319</v>
      </c>
      <c r="S77" s="232"/>
      <c r="T77" s="607" t="s">
        <v>135</v>
      </c>
      <c r="U77" s="607" t="s">
        <v>135</v>
      </c>
      <c r="V77" s="608" t="s">
        <v>135</v>
      </c>
      <c r="W77">
        <f t="shared" si="25"/>
        <v>14</v>
      </c>
    </row>
    <row r="78" spans="2:26" x14ac:dyDescent="0.35">
      <c r="B78">
        <f t="shared" si="24"/>
        <v>15</v>
      </c>
      <c r="C78" s="633" t="str">
        <f>C23</f>
        <v>xAI Grok training Memphis, 100k H100 called Colossus using Nvidia Spectrum X800 for networking with some modifications made by xAI engineers that makes a 100k or 200k cluster possible</v>
      </c>
      <c r="D78" s="634" t="s">
        <v>788</v>
      </c>
      <c r="E78" s="634" t="s">
        <v>893</v>
      </c>
      <c r="F78" s="634" t="s">
        <v>788</v>
      </c>
      <c r="G78" s="634" t="s">
        <v>788</v>
      </c>
      <c r="H78" s="635" t="s">
        <v>225</v>
      </c>
      <c r="I78" s="634" t="s">
        <v>788</v>
      </c>
      <c r="J78" s="636" t="s">
        <v>135</v>
      </c>
      <c r="K78" s="637" t="s">
        <v>135</v>
      </c>
      <c r="L78" s="638" t="s">
        <v>135</v>
      </c>
      <c r="M78" s="637" t="s">
        <v>135</v>
      </c>
      <c r="N78" s="638" t="s">
        <v>459</v>
      </c>
      <c r="O78" s="637" t="s">
        <v>135</v>
      </c>
      <c r="P78" s="637" t="s">
        <v>135</v>
      </c>
      <c r="Q78" s="637" t="s">
        <v>135</v>
      </c>
      <c r="R78" s="639" t="s">
        <v>135</v>
      </c>
      <c r="S78" s="640" t="s">
        <v>45</v>
      </c>
      <c r="T78" s="637" t="s">
        <v>135</v>
      </c>
      <c r="U78" s="637" t="s">
        <v>135</v>
      </c>
      <c r="V78" s="641" t="s">
        <v>135</v>
      </c>
      <c r="W78">
        <f t="shared" si="25"/>
        <v>15</v>
      </c>
      <c r="Y78" s="38" t="s">
        <v>899</v>
      </c>
    </row>
    <row r="79" spans="2:26" x14ac:dyDescent="0.35">
      <c r="B79">
        <f t="shared" si="24"/>
        <v>16</v>
      </c>
      <c r="C79" s="23" t="str">
        <f>C24</f>
        <v>xAI Grok training Memphis, 200k H100 called Colossus using Nvidia Spectrum X800 for networking with some modifications made by xAI engineers that makes a 100k or 200k cluster possible</v>
      </c>
      <c r="D79" s="131" t="s">
        <v>1935</v>
      </c>
      <c r="E79" s="131" t="s">
        <v>1935</v>
      </c>
      <c r="F79" s="131" t="s">
        <v>1935</v>
      </c>
      <c r="G79" s="645" t="s">
        <v>1951</v>
      </c>
      <c r="H79" s="145" t="s">
        <v>225</v>
      </c>
      <c r="I79" s="131" t="s">
        <v>1935</v>
      </c>
      <c r="J79" t="s">
        <v>135</v>
      </c>
      <c r="K79" s="38" t="s">
        <v>135</v>
      </c>
      <c r="L79" s="106" t="s">
        <v>135</v>
      </c>
      <c r="M79" s="38" t="s">
        <v>135</v>
      </c>
      <c r="N79" s="106" t="s">
        <v>459</v>
      </c>
      <c r="O79" s="38" t="s">
        <v>135</v>
      </c>
      <c r="P79" s="38" t="s">
        <v>135</v>
      </c>
      <c r="Q79" s="38" t="s">
        <v>135</v>
      </c>
      <c r="R79" s="107" t="s">
        <v>135</v>
      </c>
      <c r="S79" s="527" t="s">
        <v>45</v>
      </c>
      <c r="T79" s="38" t="s">
        <v>135</v>
      </c>
      <c r="U79" s="38" t="s">
        <v>135</v>
      </c>
      <c r="V79" s="45" t="s">
        <v>135</v>
      </c>
      <c r="W79">
        <f t="shared" si="25"/>
        <v>16</v>
      </c>
      <c r="Y79" s="38"/>
    </row>
    <row r="80" spans="2:26" x14ac:dyDescent="0.35">
      <c r="B80">
        <f t="shared" si="24"/>
        <v>17</v>
      </c>
      <c r="C80" s="23" t="str">
        <f>C25</f>
        <v>xAI Grok training, 300k B200</v>
      </c>
      <c r="D80" s="131" t="s">
        <v>893</v>
      </c>
      <c r="E80" s="131" t="s">
        <v>893</v>
      </c>
      <c r="F80" s="131" t="s">
        <v>893</v>
      </c>
      <c r="G80" s="131" t="s">
        <v>893</v>
      </c>
      <c r="H80" s="145" t="s">
        <v>225</v>
      </c>
      <c r="I80" s="131" t="s">
        <v>893</v>
      </c>
      <c r="J80" t="s">
        <v>135</v>
      </c>
      <c r="K80" s="38" t="s">
        <v>135</v>
      </c>
      <c r="L80" s="106" t="s">
        <v>135</v>
      </c>
      <c r="M80" s="38" t="s">
        <v>135</v>
      </c>
      <c r="N80" s="106" t="s">
        <v>459</v>
      </c>
      <c r="O80" s="38" t="s">
        <v>135</v>
      </c>
      <c r="P80" s="38" t="s">
        <v>45</v>
      </c>
      <c r="Q80" s="38" t="s">
        <v>135</v>
      </c>
      <c r="R80" s="107" t="s">
        <v>135</v>
      </c>
      <c r="S80" s="106" t="s">
        <v>225</v>
      </c>
      <c r="T80" s="38" t="s">
        <v>45</v>
      </c>
      <c r="U80" s="38" t="s">
        <v>135</v>
      </c>
      <c r="V80" s="45" t="s">
        <v>135</v>
      </c>
      <c r="W80">
        <f t="shared" si="25"/>
        <v>17</v>
      </c>
    </row>
    <row r="81" spans="2:26" x14ac:dyDescent="0.35">
      <c r="B81">
        <f t="shared" si="24"/>
        <v>18</v>
      </c>
      <c r="C81" s="23" t="str">
        <f>C26</f>
        <v>Tesla FSD HW3 training cluster 1</v>
      </c>
      <c r="D81" s="39" t="s">
        <v>130</v>
      </c>
      <c r="E81" s="39" t="s">
        <v>130</v>
      </c>
      <c r="F81" s="39" t="s">
        <v>130</v>
      </c>
      <c r="G81" s="39" t="s">
        <v>130</v>
      </c>
      <c r="H81" s="39"/>
      <c r="I81" s="39" t="s">
        <v>130</v>
      </c>
      <c r="J81" s="145" t="s">
        <v>135</v>
      </c>
      <c r="K81" t="s">
        <v>135</v>
      </c>
      <c r="L81" s="106" t="s">
        <v>377</v>
      </c>
      <c r="M81" s="39" t="s">
        <v>130</v>
      </c>
      <c r="N81" s="106" t="s">
        <v>459</v>
      </c>
      <c r="O81" s="38"/>
      <c r="P81" s="38" t="s">
        <v>135</v>
      </c>
      <c r="Q81" s="12" t="s">
        <v>45</v>
      </c>
      <c r="R81" s="154" t="s">
        <v>135</v>
      </c>
      <c r="S81" s="527" t="s">
        <v>45</v>
      </c>
      <c r="T81" s="38" t="s">
        <v>135</v>
      </c>
      <c r="U81" s="38" t="s">
        <v>135</v>
      </c>
      <c r="V81" s="45" t="s">
        <v>135</v>
      </c>
      <c r="W81">
        <f t="shared" si="25"/>
        <v>18</v>
      </c>
    </row>
    <row r="82" spans="2:26" x14ac:dyDescent="0.35">
      <c r="B82">
        <f t="shared" si="24"/>
        <v>19</v>
      </c>
      <c r="C82" s="23" t="str">
        <f>C27</f>
        <v>Tesla FSD HW3 training  c. Fremont</v>
      </c>
      <c r="D82" s="39" t="s">
        <v>564</v>
      </c>
      <c r="E82" s="39" t="s">
        <v>565</v>
      </c>
      <c r="F82" s="39" t="s">
        <v>566</v>
      </c>
      <c r="G82" s="39" t="s">
        <v>565</v>
      </c>
      <c r="H82" s="145" t="s">
        <v>225</v>
      </c>
      <c r="I82" s="39" t="s">
        <v>564</v>
      </c>
      <c r="J82" t="s">
        <v>135</v>
      </c>
      <c r="K82" t="s">
        <v>135</v>
      </c>
      <c r="L82" s="106" t="s">
        <v>135</v>
      </c>
      <c r="M82" s="38" t="s">
        <v>135</v>
      </c>
      <c r="N82" s="106" t="s">
        <v>459</v>
      </c>
      <c r="O82" s="38" t="s">
        <v>135</v>
      </c>
      <c r="P82" s="38" t="s">
        <v>135</v>
      </c>
      <c r="Q82" s="38" t="s">
        <v>135</v>
      </c>
      <c r="R82" s="107" t="s">
        <v>135</v>
      </c>
      <c r="S82" s="527" t="s">
        <v>45</v>
      </c>
      <c r="T82" s="38" t="s">
        <v>135</v>
      </c>
      <c r="U82" s="38" t="s">
        <v>135</v>
      </c>
      <c r="V82" s="45" t="s">
        <v>135</v>
      </c>
      <c r="W82">
        <f t="shared" si="25"/>
        <v>19</v>
      </c>
    </row>
    <row r="83" spans="2:26" x14ac:dyDescent="0.35">
      <c r="B83">
        <f t="shared" si="24"/>
        <v>20</v>
      </c>
      <c r="C83" s="23" t="str">
        <f>C28</f>
        <v>Tesla FSD HW3 training c. Dojo2</v>
      </c>
      <c r="D83" s="39" t="s">
        <v>567</v>
      </c>
      <c r="E83" s="39" t="s">
        <v>567</v>
      </c>
      <c r="F83" s="39"/>
      <c r="G83" s="145" t="s">
        <v>225</v>
      </c>
      <c r="H83" s="145" t="s">
        <v>225</v>
      </c>
      <c r="I83" s="145" t="s">
        <v>225</v>
      </c>
      <c r="J83" t="s">
        <v>135</v>
      </c>
      <c r="K83" t="s">
        <v>135</v>
      </c>
      <c r="L83" s="106" t="s">
        <v>489</v>
      </c>
      <c r="M83" s="38" t="s">
        <v>135</v>
      </c>
      <c r="N83" s="106" t="s">
        <v>459</v>
      </c>
      <c r="O83" s="225" t="s">
        <v>568</v>
      </c>
      <c r="P83" s="38"/>
      <c r="Q83" s="38"/>
      <c r="R83" s="191" t="s">
        <v>567</v>
      </c>
      <c r="S83" s="527" t="s">
        <v>45</v>
      </c>
      <c r="T83" s="38" t="s">
        <v>135</v>
      </c>
      <c r="U83" s="38" t="s">
        <v>135</v>
      </c>
      <c r="V83" s="45" t="s">
        <v>135</v>
      </c>
      <c r="W83">
        <f t="shared" si="25"/>
        <v>20</v>
      </c>
    </row>
    <row r="84" spans="2:26" x14ac:dyDescent="0.35">
      <c r="B84">
        <f t="shared" si="24"/>
        <v>21</v>
      </c>
      <c r="C84" s="23" t="str">
        <f>C29</f>
        <v>Tesla FSD HW4 training c. Austin</v>
      </c>
      <c r="D84" s="39" t="s">
        <v>778</v>
      </c>
      <c r="E84" s="145" t="s">
        <v>779</v>
      </c>
      <c r="F84" s="39" t="s">
        <v>780</v>
      </c>
      <c r="G84" s="39"/>
      <c r="H84" s="145" t="s">
        <v>225</v>
      </c>
      <c r="I84" s="39" t="s">
        <v>778</v>
      </c>
      <c r="J84" t="s">
        <v>135</v>
      </c>
      <c r="K84" t="s">
        <v>135</v>
      </c>
      <c r="L84" s="106" t="s">
        <v>135</v>
      </c>
      <c r="M84" s="38" t="s">
        <v>135</v>
      </c>
      <c r="N84" s="106" t="s">
        <v>459</v>
      </c>
      <c r="O84" s="38" t="s">
        <v>135</v>
      </c>
      <c r="P84" s="38" t="s">
        <v>135</v>
      </c>
      <c r="Q84" s="38" t="s">
        <v>135</v>
      </c>
      <c r="R84" s="107" t="s">
        <v>135</v>
      </c>
      <c r="S84" s="527" t="s">
        <v>45</v>
      </c>
      <c r="T84" s="38" t="s">
        <v>135</v>
      </c>
      <c r="U84" s="38" t="s">
        <v>135</v>
      </c>
      <c r="V84" s="45" t="s">
        <v>135</v>
      </c>
      <c r="W84">
        <f t="shared" si="25"/>
        <v>21</v>
      </c>
    </row>
    <row r="85" spans="2:26" x14ac:dyDescent="0.35">
      <c r="B85">
        <f t="shared" si="24"/>
        <v>22</v>
      </c>
      <c r="C85" s="23" t="str">
        <f>C30</f>
        <v>Cluster for training o3 by OpenAI</v>
      </c>
      <c r="D85" t="s">
        <v>498</v>
      </c>
      <c r="E85" t="s">
        <v>499</v>
      </c>
      <c r="H85" s="145" t="s">
        <v>225</v>
      </c>
      <c r="I85" s="14" t="s">
        <v>1944</v>
      </c>
      <c r="J85" s="38" t="s">
        <v>135</v>
      </c>
      <c r="K85" s="38" t="s">
        <v>135</v>
      </c>
      <c r="L85" s="106" t="s">
        <v>135</v>
      </c>
      <c r="M85" s="38" t="s">
        <v>135</v>
      </c>
      <c r="N85" s="106" t="s">
        <v>459</v>
      </c>
      <c r="O85" s="38" t="s">
        <v>135</v>
      </c>
      <c r="P85" s="38" t="s">
        <v>135</v>
      </c>
      <c r="Q85" s="38" t="s">
        <v>135</v>
      </c>
      <c r="R85" s="107" t="s">
        <v>135</v>
      </c>
      <c r="S85" s="527" t="s">
        <v>45</v>
      </c>
      <c r="T85" s="38" t="s">
        <v>135</v>
      </c>
      <c r="U85" s="38" t="s">
        <v>135</v>
      </c>
      <c r="V85" s="45" t="s">
        <v>135</v>
      </c>
      <c r="W85">
        <f t="shared" si="25"/>
        <v>22</v>
      </c>
    </row>
    <row r="86" spans="2:26" x14ac:dyDescent="0.35">
      <c r="B86">
        <f t="shared" si="24"/>
        <v>23</v>
      </c>
      <c r="C86" s="23" t="str">
        <f>C31</f>
        <v>Cluster for training Llama3.3 by Meta</v>
      </c>
      <c r="D86" t="s">
        <v>820</v>
      </c>
      <c r="E86" s="131" t="s">
        <v>820</v>
      </c>
      <c r="F86" s="131" t="s">
        <v>820</v>
      </c>
      <c r="G86" s="645" t="s">
        <v>820</v>
      </c>
      <c r="H86" s="145" t="s">
        <v>225</v>
      </c>
      <c r="I86" t="s">
        <v>1943</v>
      </c>
      <c r="J86" t="s">
        <v>135</v>
      </c>
      <c r="K86" s="38" t="s">
        <v>135</v>
      </c>
      <c r="L86" s="106" t="s">
        <v>135</v>
      </c>
      <c r="M86" s="38" t="s">
        <v>135</v>
      </c>
      <c r="N86" s="106" t="s">
        <v>459</v>
      </c>
      <c r="O86" s="38" t="s">
        <v>135</v>
      </c>
      <c r="P86" s="38" t="s">
        <v>135</v>
      </c>
      <c r="Q86" s="38" t="s">
        <v>135</v>
      </c>
      <c r="R86" s="107" t="s">
        <v>135</v>
      </c>
      <c r="S86" s="527" t="s">
        <v>45</v>
      </c>
      <c r="T86" s="38" t="s">
        <v>135</v>
      </c>
      <c r="U86" s="38" t="s">
        <v>135</v>
      </c>
      <c r="V86" s="45" t="s">
        <v>135</v>
      </c>
      <c r="W86">
        <f t="shared" si="25"/>
        <v>23</v>
      </c>
    </row>
    <row r="87" spans="2:26" x14ac:dyDescent="0.35">
      <c r="B87">
        <f t="shared" si="24"/>
        <v>24</v>
      </c>
      <c r="C87" s="23" t="str">
        <f>C32</f>
        <v>Google, PaLM training cluster</v>
      </c>
      <c r="D87" s="131" t="s">
        <v>613</v>
      </c>
      <c r="E87" s="131" t="s">
        <v>613</v>
      </c>
      <c r="F87" s="131" t="s">
        <v>613</v>
      </c>
      <c r="G87" s="131" t="s">
        <v>613</v>
      </c>
      <c r="H87" s="145" t="s">
        <v>225</v>
      </c>
      <c r="I87" s="131" t="s">
        <v>613</v>
      </c>
      <c r="J87" t="s">
        <v>135</v>
      </c>
      <c r="K87" t="s">
        <v>135</v>
      </c>
      <c r="L87" s="106" t="s">
        <v>489</v>
      </c>
      <c r="M87" t="s">
        <v>135</v>
      </c>
      <c r="N87" s="106" t="s">
        <v>459</v>
      </c>
      <c r="O87" t="s">
        <v>377</v>
      </c>
      <c r="P87" s="201" t="s">
        <v>45</v>
      </c>
      <c r="Q87" s="226" t="s">
        <v>45</v>
      </c>
      <c r="R87" s="107" t="s">
        <v>135</v>
      </c>
      <c r="S87" s="527" t="s">
        <v>45</v>
      </c>
      <c r="T87" s="38" t="s">
        <v>45</v>
      </c>
      <c r="U87" s="38" t="s">
        <v>135</v>
      </c>
      <c r="V87" s="45" t="s">
        <v>135</v>
      </c>
      <c r="W87">
        <f t="shared" si="25"/>
        <v>24</v>
      </c>
    </row>
    <row r="88" spans="2:26" x14ac:dyDescent="0.35">
      <c r="B88">
        <f t="shared" si="24"/>
        <v>25</v>
      </c>
      <c r="C88" s="23" t="str">
        <f>C33</f>
        <v>Google standard 9216 chip cluster TPU v7</v>
      </c>
      <c r="D88" s="131" t="s">
        <v>3204</v>
      </c>
      <c r="E88" s="131" t="s">
        <v>45</v>
      </c>
      <c r="F88" s="131"/>
      <c r="G88" s="131"/>
      <c r="H88" s="145"/>
      <c r="I88" s="131" t="s">
        <v>3204</v>
      </c>
      <c r="J88" t="s">
        <v>135</v>
      </c>
      <c r="K88" t="s">
        <v>135</v>
      </c>
      <c r="L88" s="106" t="s">
        <v>489</v>
      </c>
      <c r="M88" t="s">
        <v>135</v>
      </c>
      <c r="N88" s="106"/>
      <c r="P88" s="201"/>
      <c r="Q88" s="226"/>
      <c r="R88" s="107"/>
      <c r="S88" s="527"/>
      <c r="T88" s="38"/>
      <c r="U88" s="38"/>
      <c r="V88" s="45"/>
      <c r="W88">
        <f t="shared" si="25"/>
        <v>25</v>
      </c>
    </row>
    <row r="89" spans="2:26" x14ac:dyDescent="0.35">
      <c r="B89">
        <f t="shared" si="24"/>
        <v>26</v>
      </c>
      <c r="C89" s="23" t="str">
        <f>C34</f>
        <v>Google max config 400k TPU v7 w. Jupiter network</v>
      </c>
      <c r="D89" s="131" t="s">
        <v>3204</v>
      </c>
      <c r="E89" s="131" t="s">
        <v>45</v>
      </c>
      <c r="F89" s="131"/>
      <c r="G89" s="131"/>
      <c r="H89" s="145"/>
      <c r="I89" s="131" t="s">
        <v>3204</v>
      </c>
      <c r="J89" t="s">
        <v>135</v>
      </c>
      <c r="K89" t="s">
        <v>135</v>
      </c>
      <c r="L89" s="106" t="s">
        <v>489</v>
      </c>
      <c r="M89" t="s">
        <v>135</v>
      </c>
      <c r="N89" s="106"/>
      <c r="P89" s="201"/>
      <c r="Q89" s="226"/>
      <c r="R89" s="107"/>
      <c r="S89" s="527"/>
      <c r="T89" s="38"/>
      <c r="U89" s="38"/>
      <c r="V89" s="45"/>
      <c r="W89">
        <f t="shared" si="25"/>
        <v>26</v>
      </c>
    </row>
    <row r="90" spans="2:26" x14ac:dyDescent="0.35">
      <c r="B90">
        <f t="shared" si="24"/>
        <v>27</v>
      </c>
      <c r="C90" s="23" t="str">
        <f t="shared" ref="C90:C108" si="26">C35</f>
        <v>Google A3, VM</v>
      </c>
      <c r="D90" s="131" t="s">
        <v>573</v>
      </c>
      <c r="E90" s="131" t="s">
        <v>573</v>
      </c>
      <c r="F90" s="131" t="s">
        <v>573</v>
      </c>
      <c r="G90" s="145" t="s">
        <v>225</v>
      </c>
      <c r="H90" s="145" t="s">
        <v>225</v>
      </c>
      <c r="I90" t="s">
        <v>135</v>
      </c>
      <c r="J90" t="s">
        <v>135</v>
      </c>
      <c r="K90" t="s">
        <v>135</v>
      </c>
      <c r="L90" s="106" t="s">
        <v>489</v>
      </c>
      <c r="M90" t="s">
        <v>135</v>
      </c>
      <c r="N90" s="106" t="s">
        <v>459</v>
      </c>
      <c r="O90" t="s">
        <v>377</v>
      </c>
      <c r="P90" s="38" t="s">
        <v>135</v>
      </c>
      <c r="Q90" s="38" t="s">
        <v>135</v>
      </c>
      <c r="R90" s="140" t="s">
        <v>573</v>
      </c>
      <c r="S90" s="527" t="s">
        <v>45</v>
      </c>
      <c r="T90" s="38" t="s">
        <v>135</v>
      </c>
      <c r="U90" s="38" t="s">
        <v>135</v>
      </c>
      <c r="V90" s="45" t="s">
        <v>135</v>
      </c>
      <c r="W90">
        <f t="shared" si="25"/>
        <v>27</v>
      </c>
    </row>
    <row r="91" spans="2:26" x14ac:dyDescent="0.35">
      <c r="B91">
        <f t="shared" si="24"/>
        <v>28</v>
      </c>
      <c r="C91" s="23" t="str">
        <f t="shared" si="26"/>
        <v>Stability.ai, Ezra-1</v>
      </c>
      <c r="D91" s="131" t="s">
        <v>609</v>
      </c>
      <c r="E91" s="131" t="s">
        <v>609</v>
      </c>
      <c r="F91" s="131" t="s">
        <v>609</v>
      </c>
      <c r="G91" s="39" t="s">
        <v>608</v>
      </c>
      <c r="H91" s="145" t="s">
        <v>225</v>
      </c>
      <c r="I91" s="131" t="s">
        <v>608</v>
      </c>
      <c r="J91" t="s">
        <v>135</v>
      </c>
      <c r="K91" s="131" t="s">
        <v>610</v>
      </c>
      <c r="L91" s="106" t="s">
        <v>489</v>
      </c>
      <c r="M91" t="s">
        <v>135</v>
      </c>
      <c r="N91" s="106" t="s">
        <v>459</v>
      </c>
      <c r="O91" t="s">
        <v>377</v>
      </c>
      <c r="P91" s="38" t="s">
        <v>135</v>
      </c>
      <c r="Q91" s="38" t="s">
        <v>135</v>
      </c>
      <c r="R91" s="107" t="s">
        <v>135</v>
      </c>
      <c r="S91" s="527" t="s">
        <v>45</v>
      </c>
      <c r="T91" s="38" t="s">
        <v>135</v>
      </c>
      <c r="U91" s="38" t="s">
        <v>135</v>
      </c>
      <c r="V91" s="45" t="s">
        <v>135</v>
      </c>
      <c r="W91">
        <f t="shared" si="25"/>
        <v>28</v>
      </c>
    </row>
    <row r="92" spans="2:26" x14ac:dyDescent="0.35">
      <c r="B92">
        <f t="shared" si="24"/>
        <v>29</v>
      </c>
      <c r="C92" s="23" t="str">
        <f t="shared" si="26"/>
        <v>NVIDIA Eos</v>
      </c>
      <c r="D92" s="131" t="s">
        <v>625</v>
      </c>
      <c r="E92" s="131" t="s">
        <v>625</v>
      </c>
      <c r="F92" s="131" t="s">
        <v>625</v>
      </c>
      <c r="G92" s="131" t="s">
        <v>625</v>
      </c>
      <c r="H92" s="145" t="s">
        <v>225</v>
      </c>
      <c r="I92" s="131" t="s">
        <v>625</v>
      </c>
      <c r="J92" t="s">
        <v>135</v>
      </c>
      <c r="K92" t="s">
        <v>135</v>
      </c>
      <c r="L92" s="106" t="s">
        <v>489</v>
      </c>
      <c r="M92" t="s">
        <v>135</v>
      </c>
      <c r="N92" s="106" t="s">
        <v>459</v>
      </c>
      <c r="O92" t="s">
        <v>377</v>
      </c>
      <c r="P92" s="38" t="s">
        <v>135</v>
      </c>
      <c r="Q92" s="38" t="s">
        <v>135</v>
      </c>
      <c r="R92" s="107" t="s">
        <v>135</v>
      </c>
      <c r="S92" s="527" t="s">
        <v>45</v>
      </c>
      <c r="T92" s="38" t="s">
        <v>135</v>
      </c>
      <c r="U92" s="38" t="s">
        <v>135</v>
      </c>
      <c r="V92" s="45" t="s">
        <v>135</v>
      </c>
      <c r="W92">
        <f t="shared" si="25"/>
        <v>29</v>
      </c>
    </row>
    <row r="93" spans="2:26" ht="15" thickBot="1" x14ac:dyDescent="0.4">
      <c r="B93">
        <f t="shared" si="24"/>
        <v>30</v>
      </c>
      <c r="C93" s="23" t="str">
        <f t="shared" si="26"/>
        <v>Frontier</v>
      </c>
      <c r="D93" s="131" t="s">
        <v>609</v>
      </c>
      <c r="E93" s="131" t="s">
        <v>609</v>
      </c>
      <c r="F93" s="131" t="s">
        <v>609</v>
      </c>
      <c r="G93" s="39" t="s">
        <v>608</v>
      </c>
      <c r="H93" s="145" t="s">
        <v>225</v>
      </c>
      <c r="I93" s="131" t="s">
        <v>608</v>
      </c>
      <c r="J93" t="s">
        <v>135</v>
      </c>
      <c r="K93" s="131" t="s">
        <v>624</v>
      </c>
      <c r="L93" s="106" t="s">
        <v>489</v>
      </c>
      <c r="M93" t="s">
        <v>135</v>
      </c>
      <c r="N93" s="106" t="s">
        <v>459</v>
      </c>
      <c r="O93" t="s">
        <v>377</v>
      </c>
      <c r="P93" s="38" t="s">
        <v>135</v>
      </c>
      <c r="Q93" s="38" t="s">
        <v>135</v>
      </c>
      <c r="R93" s="107" t="s">
        <v>135</v>
      </c>
      <c r="S93" s="527" t="s">
        <v>45</v>
      </c>
      <c r="T93" s="38" t="s">
        <v>135</v>
      </c>
      <c r="U93" s="38" t="s">
        <v>45</v>
      </c>
      <c r="V93" s="45" t="s">
        <v>45</v>
      </c>
      <c r="W93">
        <f t="shared" si="25"/>
        <v>30</v>
      </c>
    </row>
    <row r="94" spans="2:26" ht="15" thickTop="1" x14ac:dyDescent="0.35">
      <c r="B94">
        <f t="shared" si="24"/>
        <v>31</v>
      </c>
      <c r="C94" s="23" t="str">
        <f t="shared" si="26"/>
        <v>El Capitan</v>
      </c>
      <c r="D94" s="39" t="s">
        <v>320</v>
      </c>
      <c r="E94" s="39" t="s">
        <v>157</v>
      </c>
      <c r="F94" s="39" t="s">
        <v>157</v>
      </c>
      <c r="G94" s="39" t="s">
        <v>157</v>
      </c>
      <c r="H94" s="145" t="s">
        <v>225</v>
      </c>
      <c r="I94" s="145" t="s">
        <v>135</v>
      </c>
      <c r="J94" s="145" t="s">
        <v>135</v>
      </c>
      <c r="K94" s="39" t="s">
        <v>320</v>
      </c>
      <c r="L94" s="106" t="s">
        <v>377</v>
      </c>
      <c r="M94" s="39"/>
      <c r="N94" s="106" t="s">
        <v>459</v>
      </c>
      <c r="O94" s="225" t="s">
        <v>320</v>
      </c>
      <c r="P94" s="38" t="s">
        <v>135</v>
      </c>
      <c r="Q94" s="227" t="s">
        <v>157</v>
      </c>
      <c r="R94" s="154" t="s">
        <v>45</v>
      </c>
      <c r="S94" s="527" t="s">
        <v>45</v>
      </c>
      <c r="T94" s="38" t="s">
        <v>135</v>
      </c>
      <c r="U94" s="38" t="s">
        <v>135</v>
      </c>
      <c r="V94" s="45" t="s">
        <v>45</v>
      </c>
      <c r="W94">
        <f t="shared" si="25"/>
        <v>31</v>
      </c>
      <c r="Y94" s="49" t="s">
        <v>321</v>
      </c>
      <c r="Z94" t="s">
        <v>45</v>
      </c>
    </row>
    <row r="95" spans="2:26" x14ac:dyDescent="0.35">
      <c r="B95">
        <f t="shared" si="24"/>
        <v>32</v>
      </c>
      <c r="C95" s="23" t="str">
        <f t="shared" si="26"/>
        <v>Cerebras CG-1</v>
      </c>
      <c r="D95" s="39" t="s">
        <v>53</v>
      </c>
      <c r="E95" s="39" t="s">
        <v>121</v>
      </c>
      <c r="F95" s="39"/>
      <c r="G95" s="39" t="s">
        <v>122</v>
      </c>
      <c r="H95" s="39" t="s">
        <v>137</v>
      </c>
      <c r="I95" s="39" t="s">
        <v>136</v>
      </c>
      <c r="J95" s="145" t="s">
        <v>135</v>
      </c>
      <c r="K95" s="39" t="s">
        <v>442</v>
      </c>
      <c r="L95" s="106" t="s">
        <v>377</v>
      </c>
      <c r="M95" s="39" t="s">
        <v>136</v>
      </c>
      <c r="N95" s="106" t="s">
        <v>459</v>
      </c>
      <c r="O95" s="225" t="s">
        <v>444</v>
      </c>
      <c r="P95" s="39" t="s">
        <v>54</v>
      </c>
      <c r="Q95" s="228" t="s">
        <v>136</v>
      </c>
      <c r="R95" s="155" t="s">
        <v>45</v>
      </c>
      <c r="S95" s="527" t="s">
        <v>45</v>
      </c>
      <c r="T95" s="38" t="s">
        <v>135</v>
      </c>
      <c r="U95" s="38" t="s">
        <v>135</v>
      </c>
      <c r="V95" s="45" t="s">
        <v>45</v>
      </c>
      <c r="W95">
        <f t="shared" si="25"/>
        <v>32</v>
      </c>
      <c r="Y95" s="51"/>
    </row>
    <row r="96" spans="2:26" x14ac:dyDescent="0.35">
      <c r="B96">
        <f t="shared" si="24"/>
        <v>33</v>
      </c>
      <c r="C96" s="23" t="str">
        <f t="shared" si="26"/>
        <v>Cerebras Condor Galaxy 3</v>
      </c>
      <c r="D96" s="39" t="s">
        <v>681</v>
      </c>
      <c r="E96" s="39" t="s">
        <v>682</v>
      </c>
      <c r="F96" s="39" t="s">
        <v>683</v>
      </c>
      <c r="G96" s="39" t="s">
        <v>684</v>
      </c>
      <c r="H96" s="145" t="s">
        <v>225</v>
      </c>
      <c r="I96" s="39" t="s">
        <v>685</v>
      </c>
      <c r="J96" s="145" t="s">
        <v>135</v>
      </c>
      <c r="K96" s="39" t="s">
        <v>696</v>
      </c>
      <c r="L96" s="106" t="s">
        <v>377</v>
      </c>
      <c r="M96" s="39" t="s">
        <v>697</v>
      </c>
      <c r="N96" s="106"/>
      <c r="O96" s="225" t="s">
        <v>695</v>
      </c>
      <c r="P96" s="39"/>
      <c r="Q96" s="228" t="s">
        <v>685</v>
      </c>
      <c r="R96" s="155"/>
      <c r="S96" s="527" t="s">
        <v>45</v>
      </c>
      <c r="T96" s="38"/>
      <c r="U96" s="38"/>
      <c r="V96" s="45" t="s">
        <v>45</v>
      </c>
      <c r="W96">
        <f t="shared" si="25"/>
        <v>33</v>
      </c>
    </row>
    <row r="97" spans="2:26" x14ac:dyDescent="0.35">
      <c r="B97">
        <f t="shared" si="24"/>
        <v>34</v>
      </c>
      <c r="C97" s="23" t="str">
        <f t="shared" si="26"/>
        <v>Cerebras CG-3 Max</v>
      </c>
      <c r="D97" s="39" t="s">
        <v>687</v>
      </c>
      <c r="E97" s="39" t="s">
        <v>688</v>
      </c>
      <c r="F97" s="39" t="s">
        <v>689</v>
      </c>
      <c r="G97" s="39" t="s">
        <v>690</v>
      </c>
      <c r="H97" s="39" t="s">
        <v>691</v>
      </c>
      <c r="I97" s="39" t="s">
        <v>692</v>
      </c>
      <c r="J97" s="39" t="s">
        <v>693</v>
      </c>
      <c r="K97" s="39" t="s">
        <v>694</v>
      </c>
      <c r="L97" s="106"/>
      <c r="M97" s="145" t="s">
        <v>45</v>
      </c>
      <c r="N97" s="106"/>
      <c r="O97" s="229" t="s">
        <v>135</v>
      </c>
      <c r="P97" s="225" t="s">
        <v>688</v>
      </c>
      <c r="Q97" s="225" t="s">
        <v>689</v>
      </c>
      <c r="R97" s="155"/>
      <c r="S97" s="527" t="s">
        <v>45</v>
      </c>
      <c r="T97" s="38"/>
      <c r="U97" s="38"/>
      <c r="V97" s="45" t="s">
        <v>45</v>
      </c>
      <c r="W97">
        <f t="shared" si="25"/>
        <v>34</v>
      </c>
    </row>
    <row r="98" spans="2:26" ht="15" thickBot="1" x14ac:dyDescent="0.4">
      <c r="B98">
        <f t="shared" si="24"/>
        <v>35</v>
      </c>
      <c r="C98" s="23" t="str">
        <f t="shared" si="26"/>
        <v>Inflection AI (Pi, LLM)</v>
      </c>
      <c r="D98" s="39" t="s">
        <v>199</v>
      </c>
      <c r="E98" s="39" t="s">
        <v>199</v>
      </c>
      <c r="F98" s="39" t="s">
        <v>199</v>
      </c>
      <c r="G98" s="39" t="s">
        <v>199</v>
      </c>
      <c r="H98" s="39" t="s">
        <v>199</v>
      </c>
      <c r="I98" s="39" t="s">
        <v>199</v>
      </c>
      <c r="J98" s="145" t="s">
        <v>135</v>
      </c>
      <c r="K98" s="39" t="s">
        <v>471</v>
      </c>
      <c r="L98" s="106" t="s">
        <v>377</v>
      </c>
      <c r="M98" s="38" t="s">
        <v>135</v>
      </c>
      <c r="N98" s="106" t="s">
        <v>459</v>
      </c>
      <c r="O98" s="38" t="s">
        <v>135</v>
      </c>
      <c r="P98" s="38" t="s">
        <v>135</v>
      </c>
      <c r="Q98" s="12" t="s">
        <v>135</v>
      </c>
      <c r="R98" s="154" t="s">
        <v>135</v>
      </c>
      <c r="S98" s="527" t="s">
        <v>45</v>
      </c>
      <c r="T98" s="38" t="s">
        <v>135</v>
      </c>
      <c r="U98" s="38" t="s">
        <v>135</v>
      </c>
      <c r="V98" s="45" t="s">
        <v>135</v>
      </c>
      <c r="W98">
        <f t="shared" si="25"/>
        <v>35</v>
      </c>
    </row>
    <row r="99" spans="2:26" ht="21.5" thickTop="1" x14ac:dyDescent="0.5">
      <c r="B99">
        <f t="shared" si="24"/>
        <v>36</v>
      </c>
      <c r="C99" s="702" t="str">
        <f t="shared" si="26"/>
        <v>Super computers used for inference of AI models i.e. running finished models</v>
      </c>
      <c r="D99" s="601"/>
      <c r="E99" s="601"/>
      <c r="F99" s="601"/>
      <c r="G99" s="478"/>
      <c r="H99" s="478"/>
      <c r="I99" s="478"/>
      <c r="J99" s="461"/>
      <c r="K99" s="461"/>
      <c r="L99" s="478"/>
      <c r="M99" s="602"/>
      <c r="N99" s="478"/>
      <c r="O99" s="605"/>
      <c r="P99" s="602"/>
      <c r="Q99" s="602"/>
      <c r="R99" s="605"/>
      <c r="S99" s="605"/>
      <c r="T99" s="602"/>
      <c r="U99" s="602"/>
      <c r="V99" s="604"/>
      <c r="W99">
        <f t="shared" si="25"/>
        <v>36</v>
      </c>
    </row>
    <row r="100" spans="2:26" x14ac:dyDescent="0.35">
      <c r="B100">
        <f t="shared" si="24"/>
        <v>37</v>
      </c>
      <c r="C100" s="23" t="str">
        <f t="shared" si="26"/>
        <v>GPT-4 inference cluster, 128*A100</v>
      </c>
      <c r="D100" t="s">
        <v>1016</v>
      </c>
      <c r="E100" s="146" t="s">
        <v>168</v>
      </c>
      <c r="F100" s="146" t="s">
        <v>168</v>
      </c>
      <c r="G100" s="39" t="s">
        <v>185</v>
      </c>
      <c r="H100" s="145" t="s">
        <v>225</v>
      </c>
      <c r="I100" s="39" t="s">
        <v>185</v>
      </c>
      <c r="J100" s="38" t="s">
        <v>135</v>
      </c>
      <c r="K100" s="38" t="s">
        <v>135</v>
      </c>
      <c r="L100" s="96" t="s">
        <v>185</v>
      </c>
      <c r="M100" s="38" t="s">
        <v>135</v>
      </c>
      <c r="N100" s="106" t="s">
        <v>459</v>
      </c>
      <c r="O100" s="38" t="s">
        <v>135</v>
      </c>
      <c r="P100" s="38" t="s">
        <v>135</v>
      </c>
      <c r="Q100" s="38" t="s">
        <v>135</v>
      </c>
      <c r="R100" s="107" t="s">
        <v>135</v>
      </c>
      <c r="S100" s="527" t="s">
        <v>45</v>
      </c>
      <c r="T100" s="38" t="s">
        <v>135</v>
      </c>
      <c r="U100" s="38" t="s">
        <v>135</v>
      </c>
      <c r="V100" s="45" t="s">
        <v>135</v>
      </c>
      <c r="W100">
        <f t="shared" si="25"/>
        <v>37</v>
      </c>
      <c r="Y100" t="s">
        <v>163</v>
      </c>
      <c r="Z100" t="s">
        <v>45</v>
      </c>
    </row>
    <row r="101" spans="2:26" x14ac:dyDescent="0.35">
      <c r="B101">
        <f t="shared" si="24"/>
        <v>38</v>
      </c>
      <c r="C101" s="23" t="str">
        <f t="shared" si="26"/>
        <v xml:space="preserve">Tesla HW4 or AI4 </v>
      </c>
      <c r="D101" s="131" t="s">
        <v>62</v>
      </c>
      <c r="E101" s="131" t="s">
        <v>62</v>
      </c>
      <c r="F101" s="131" t="s">
        <v>488</v>
      </c>
      <c r="G101" s="131" t="s">
        <v>488</v>
      </c>
      <c r="H101" s="145" t="s">
        <v>225</v>
      </c>
      <c r="I101" s="131" t="s">
        <v>488</v>
      </c>
      <c r="J101" s="131" t="s">
        <v>488</v>
      </c>
      <c r="K101" s="131" t="s">
        <v>488</v>
      </c>
      <c r="L101" s="106" t="s">
        <v>489</v>
      </c>
      <c r="M101" s="131" t="s">
        <v>187</v>
      </c>
      <c r="N101" s="106" t="s">
        <v>459</v>
      </c>
      <c r="O101" t="s">
        <v>377</v>
      </c>
      <c r="P101" s="131" t="s">
        <v>63</v>
      </c>
      <c r="Q101" t="s">
        <v>45</v>
      </c>
      <c r="R101" s="140" t="s">
        <v>266</v>
      </c>
      <c r="S101" s="527" t="s">
        <v>45</v>
      </c>
      <c r="T101" s="38" t="s">
        <v>135</v>
      </c>
      <c r="U101" s="38" t="s">
        <v>135</v>
      </c>
      <c r="V101" s="45" t="s">
        <v>135</v>
      </c>
      <c r="W101">
        <f t="shared" si="25"/>
        <v>38</v>
      </c>
    </row>
    <row r="102" spans="2:26" ht="15" thickBot="1" x14ac:dyDescent="0.4">
      <c r="B102">
        <f t="shared" si="24"/>
        <v>39</v>
      </c>
      <c r="C102" s="23" t="str">
        <f t="shared" si="26"/>
        <v>Nvidia drive Jetson Orin AGX 64GB</v>
      </c>
      <c r="D102" s="131" t="s">
        <v>69</v>
      </c>
      <c r="E102" s="131" t="s">
        <v>69</v>
      </c>
      <c r="F102" s="131" t="s">
        <v>69</v>
      </c>
      <c r="G102" s="131" t="s">
        <v>69</v>
      </c>
      <c r="H102" s="145" t="s">
        <v>225</v>
      </c>
      <c r="I102" s="145" t="s">
        <v>225</v>
      </c>
      <c r="J102" t="s">
        <v>135</v>
      </c>
      <c r="K102" s="38" t="s">
        <v>135</v>
      </c>
      <c r="L102" s="106" t="s">
        <v>135</v>
      </c>
      <c r="M102" s="38" t="s">
        <v>135</v>
      </c>
      <c r="N102" s="106" t="s">
        <v>459</v>
      </c>
      <c r="O102" s="38" t="s">
        <v>135</v>
      </c>
      <c r="P102" s="38" t="s">
        <v>135</v>
      </c>
      <c r="Q102" s="38" t="s">
        <v>135</v>
      </c>
      <c r="R102" s="107" t="s">
        <v>135</v>
      </c>
      <c r="S102" s="527" t="s">
        <v>45</v>
      </c>
      <c r="T102" s="38" t="s">
        <v>135</v>
      </c>
      <c r="U102" s="38" t="s">
        <v>135</v>
      </c>
      <c r="V102" s="45" t="s">
        <v>135</v>
      </c>
      <c r="W102">
        <f t="shared" si="25"/>
        <v>39</v>
      </c>
    </row>
    <row r="103" spans="2:26" ht="21.5" thickTop="1" x14ac:dyDescent="0.5">
      <c r="B103">
        <f t="shared" si="24"/>
        <v>40</v>
      </c>
      <c r="C103" s="702" t="str">
        <f t="shared" si="26"/>
        <v>Comparing with biological brains</v>
      </c>
      <c r="D103" s="601"/>
      <c r="E103" s="601"/>
      <c r="F103" s="601"/>
      <c r="G103" s="478"/>
      <c r="H103" s="478"/>
      <c r="I103" s="601"/>
      <c r="J103" s="601"/>
      <c r="K103" s="478"/>
      <c r="L103" s="478"/>
      <c r="M103" s="478"/>
      <c r="N103" s="478"/>
      <c r="O103" s="602"/>
      <c r="P103" s="602"/>
      <c r="Q103" s="603"/>
      <c r="R103" s="467"/>
      <c r="S103" s="467"/>
      <c r="T103" s="602"/>
      <c r="U103" s="602"/>
      <c r="V103" s="604"/>
      <c r="W103">
        <f t="shared" si="25"/>
        <v>40</v>
      </c>
    </row>
    <row r="104" spans="2:26" x14ac:dyDescent="0.35">
      <c r="B104">
        <f t="shared" si="24"/>
        <v>41</v>
      </c>
      <c r="C104" s="23" t="str">
        <f t="shared" si="26"/>
        <v>Human brain - Life 2.5</v>
      </c>
      <c r="D104" t="s">
        <v>143</v>
      </c>
      <c r="E104" s="39"/>
      <c r="F104" s="47" t="s">
        <v>291</v>
      </c>
      <c r="G104" s="431" t="s">
        <v>45</v>
      </c>
      <c r="H104" s="39" t="s">
        <v>149</v>
      </c>
      <c r="I104" s="431" t="s">
        <v>45</v>
      </c>
      <c r="J104" s="39" t="s">
        <v>149</v>
      </c>
      <c r="K104" s="39" t="s">
        <v>166</v>
      </c>
      <c r="L104" s="106" t="s">
        <v>319</v>
      </c>
      <c r="M104" s="145" t="s">
        <v>319</v>
      </c>
      <c r="N104" s="106" t="s">
        <v>459</v>
      </c>
      <c r="O104" s="145" t="s">
        <v>255</v>
      </c>
      <c r="P104" s="93" t="s">
        <v>45</v>
      </c>
      <c r="Q104" s="632" t="s">
        <v>45</v>
      </c>
      <c r="R104" s="106" t="s">
        <v>319</v>
      </c>
      <c r="S104" s="106" t="s">
        <v>319</v>
      </c>
      <c r="T104" s="93" t="s">
        <v>45</v>
      </c>
      <c r="U104" s="38" t="s">
        <v>135</v>
      </c>
      <c r="V104" s="45" t="s">
        <v>135</v>
      </c>
      <c r="W104">
        <f t="shared" si="25"/>
        <v>41</v>
      </c>
    </row>
    <row r="105" spans="2:26" ht="15" thickBot="1" x14ac:dyDescent="0.4">
      <c r="B105">
        <f t="shared" si="24"/>
        <v>42</v>
      </c>
      <c r="C105" s="23" t="str">
        <f t="shared" si="26"/>
        <v>Dog/wolf brain 4.1% of human brain - Life 2.0</v>
      </c>
      <c r="D105" s="131" t="s">
        <v>972</v>
      </c>
      <c r="E105" s="39" t="s">
        <v>972</v>
      </c>
      <c r="F105" s="47" t="s">
        <v>291</v>
      </c>
      <c r="G105" s="431" t="s">
        <v>45</v>
      </c>
      <c r="H105" s="39" t="s">
        <v>149</v>
      </c>
      <c r="I105" s="431" t="s">
        <v>45</v>
      </c>
      <c r="J105" s="39" t="s">
        <v>149</v>
      </c>
      <c r="K105" s="145" t="s">
        <v>1017</v>
      </c>
      <c r="L105" s="106" t="s">
        <v>319</v>
      </c>
      <c r="M105" s="145" t="s">
        <v>319</v>
      </c>
      <c r="N105" s="106" t="s">
        <v>459</v>
      </c>
      <c r="O105" s="145" t="s">
        <v>255</v>
      </c>
      <c r="P105" s="93" t="s">
        <v>45</v>
      </c>
      <c r="Q105" s="632" t="s">
        <v>45</v>
      </c>
      <c r="R105" s="106" t="s">
        <v>319</v>
      </c>
      <c r="S105" s="106" t="s">
        <v>319</v>
      </c>
      <c r="T105" s="93" t="s">
        <v>45</v>
      </c>
      <c r="U105" s="38" t="s">
        <v>135</v>
      </c>
      <c r="V105" s="45" t="s">
        <v>135</v>
      </c>
      <c r="W105">
        <f t="shared" si="25"/>
        <v>42</v>
      </c>
    </row>
    <row r="106" spans="2:26" ht="21.5" thickTop="1" x14ac:dyDescent="0.5">
      <c r="B106">
        <f t="shared" si="24"/>
        <v>43</v>
      </c>
      <c r="C106" s="702" t="str">
        <f t="shared" si="26"/>
        <v xml:space="preserve">Likely minimum specs for human level AGI capable computer </v>
      </c>
      <c r="D106" s="463"/>
      <c r="E106" s="463"/>
      <c r="F106" s="461"/>
      <c r="G106" s="461"/>
      <c r="H106" s="475"/>
      <c r="I106" s="462"/>
      <c r="J106" s="475"/>
      <c r="K106" s="474"/>
      <c r="L106" s="462"/>
      <c r="M106" s="462"/>
      <c r="N106" s="629"/>
      <c r="O106" s="623"/>
      <c r="P106" s="463"/>
      <c r="Q106" s="463"/>
      <c r="R106" s="463"/>
      <c r="S106" s="463"/>
      <c r="T106" s="630"/>
      <c r="U106" s="630"/>
      <c r="V106" s="644"/>
      <c r="W106">
        <f t="shared" si="25"/>
        <v>43</v>
      </c>
    </row>
    <row r="107" spans="2:26" x14ac:dyDescent="0.35">
      <c r="B107">
        <f t="shared" si="24"/>
        <v>44</v>
      </c>
      <c r="C107" s="23" t="str">
        <f t="shared" si="26"/>
        <v>Min. AGI inference computer if B100 +40TB HBM is required</v>
      </c>
      <c r="D107" s="145" t="s">
        <v>833</v>
      </c>
      <c r="E107" s="145" t="s">
        <v>832</v>
      </c>
      <c r="F107" s="145" t="s">
        <v>225</v>
      </c>
      <c r="G107" s="145" t="s">
        <v>225</v>
      </c>
      <c r="H107" s="145" t="s">
        <v>225</v>
      </c>
      <c r="I107" s="145" t="s">
        <v>225</v>
      </c>
      <c r="J107" s="145" t="s">
        <v>225</v>
      </c>
      <c r="K107" s="145" t="s">
        <v>225</v>
      </c>
      <c r="L107" s="106" t="s">
        <v>225</v>
      </c>
      <c r="M107" s="145" t="s">
        <v>225</v>
      </c>
      <c r="N107" s="106" t="s">
        <v>225</v>
      </c>
      <c r="O107" s="145" t="s">
        <v>225</v>
      </c>
      <c r="P107" s="145" t="s">
        <v>225</v>
      </c>
      <c r="Q107" s="145" t="s">
        <v>225</v>
      </c>
      <c r="R107" s="106" t="s">
        <v>225</v>
      </c>
      <c r="S107" s="106" t="s">
        <v>225</v>
      </c>
      <c r="T107" s="145" t="s">
        <v>225</v>
      </c>
      <c r="U107" s="145" t="s">
        <v>225</v>
      </c>
      <c r="V107" s="528" t="s">
        <v>225</v>
      </c>
      <c r="W107">
        <f t="shared" si="25"/>
        <v>44</v>
      </c>
    </row>
    <row r="108" spans="2:26" x14ac:dyDescent="0.35">
      <c r="B108">
        <f t="shared" si="24"/>
        <v>45</v>
      </c>
      <c r="C108" s="23" t="str">
        <f t="shared" si="26"/>
        <v>Min. AGI inference computer if B100 +4TB HBM is required</v>
      </c>
      <c r="D108" s="145" t="s">
        <v>833</v>
      </c>
      <c r="E108" s="145" t="s">
        <v>832</v>
      </c>
      <c r="F108" s="145" t="s">
        <v>225</v>
      </c>
      <c r="G108" s="145" t="s">
        <v>225</v>
      </c>
      <c r="H108" s="145" t="s">
        <v>225</v>
      </c>
      <c r="I108" s="145" t="s">
        <v>225</v>
      </c>
      <c r="J108" s="145" t="s">
        <v>225</v>
      </c>
      <c r="K108" s="145" t="s">
        <v>225</v>
      </c>
      <c r="L108" s="106" t="s">
        <v>225</v>
      </c>
      <c r="M108" s="145" t="s">
        <v>225</v>
      </c>
      <c r="N108" s="106" t="s">
        <v>225</v>
      </c>
      <c r="O108" s="145" t="s">
        <v>225</v>
      </c>
      <c r="P108" s="145" t="s">
        <v>225</v>
      </c>
      <c r="Q108" s="145" t="s">
        <v>225</v>
      </c>
      <c r="R108" s="106" t="s">
        <v>225</v>
      </c>
      <c r="S108" s="106" t="s">
        <v>225</v>
      </c>
      <c r="T108" s="145" t="s">
        <v>225</v>
      </c>
      <c r="U108" s="145" t="s">
        <v>225</v>
      </c>
      <c r="V108" s="528" t="s">
        <v>225</v>
      </c>
      <c r="W108">
        <f t="shared" si="25"/>
        <v>45</v>
      </c>
    </row>
    <row r="109" spans="2:26" ht="15" thickBot="1" x14ac:dyDescent="0.4">
      <c r="B109">
        <f t="shared" si="24"/>
        <v>46</v>
      </c>
      <c r="C109" s="27" t="str">
        <f t="shared" ref="C109" si="27">C54</f>
        <v>15*4 TB SSD disks doing 7.4GB/s each</v>
      </c>
      <c r="D109" s="612" t="s">
        <v>1084</v>
      </c>
      <c r="E109" s="612" t="s">
        <v>225</v>
      </c>
      <c r="F109" s="612" t="s">
        <v>225</v>
      </c>
      <c r="G109" s="612"/>
      <c r="H109" s="85" t="s">
        <v>1083</v>
      </c>
      <c r="I109" s="85" t="s">
        <v>1083</v>
      </c>
      <c r="J109" s="85" t="s">
        <v>1083</v>
      </c>
      <c r="K109" s="85" t="s">
        <v>1083</v>
      </c>
      <c r="L109" s="156"/>
      <c r="M109" s="612" t="s">
        <v>225</v>
      </c>
      <c r="N109" s="156" t="s">
        <v>225</v>
      </c>
      <c r="O109" s="612" t="s">
        <v>225</v>
      </c>
      <c r="P109" s="612" t="s">
        <v>45</v>
      </c>
      <c r="Q109" s="612" t="s">
        <v>45</v>
      </c>
      <c r="R109" s="156" t="s">
        <v>45</v>
      </c>
      <c r="S109" s="689" t="s">
        <v>45</v>
      </c>
      <c r="T109" s="612" t="s">
        <v>45</v>
      </c>
      <c r="U109" s="612" t="s">
        <v>45</v>
      </c>
      <c r="V109" s="690" t="s">
        <v>45</v>
      </c>
      <c r="W109">
        <f t="shared" si="25"/>
        <v>46</v>
      </c>
    </row>
    <row r="110" spans="2:26" ht="15" thickTop="1" x14ac:dyDescent="0.35"/>
    <row r="123" spans="3:13" x14ac:dyDescent="0.35">
      <c r="C123" s="8"/>
    </row>
    <row r="124" spans="3:13" x14ac:dyDescent="0.35">
      <c r="C124" s="8"/>
      <c r="D124" s="131"/>
    </row>
    <row r="125" spans="3:13" x14ac:dyDescent="0.35">
      <c r="F125" s="8"/>
      <c r="I125" s="131"/>
    </row>
    <row r="126" spans="3:13" x14ac:dyDescent="0.35">
      <c r="F126" s="8"/>
    </row>
    <row r="127" spans="3:13" x14ac:dyDescent="0.35">
      <c r="F127" s="118"/>
      <c r="G127" s="12"/>
    </row>
    <row r="128" spans="3:13" x14ac:dyDescent="0.35">
      <c r="F128" s="118"/>
      <c r="G128" s="12"/>
      <c r="M128" s="8"/>
    </row>
    <row r="129" spans="3:10" x14ac:dyDescent="0.35">
      <c r="F129" s="118"/>
      <c r="G129" s="12"/>
      <c r="J129" s="131"/>
    </row>
    <row r="130" spans="3:10" x14ac:dyDescent="0.35">
      <c r="F130" s="118"/>
      <c r="G130" s="12"/>
      <c r="J130" s="131"/>
    </row>
    <row r="131" spans="3:10" x14ac:dyDescent="0.35">
      <c r="F131" s="12"/>
      <c r="G131" s="12"/>
      <c r="J131" s="131"/>
    </row>
    <row r="132" spans="3:10" x14ac:dyDescent="0.35">
      <c r="F132" s="12"/>
      <c r="G132" s="12"/>
      <c r="J132" s="131"/>
    </row>
    <row r="134" spans="3:10" x14ac:dyDescent="0.35">
      <c r="F134" s="12"/>
      <c r="G134" s="12"/>
    </row>
    <row r="135" spans="3:10" x14ac:dyDescent="0.35">
      <c r="F135" s="12"/>
      <c r="G135" s="12"/>
    </row>
    <row r="136" spans="3:10" x14ac:dyDescent="0.35">
      <c r="F136" s="12"/>
      <c r="G136" s="12"/>
    </row>
    <row r="137" spans="3:10" x14ac:dyDescent="0.35">
      <c r="F137" s="12"/>
      <c r="G137" s="12"/>
    </row>
    <row r="138" spans="3:10" x14ac:dyDescent="0.35">
      <c r="F138" s="12"/>
      <c r="G138" s="12"/>
    </row>
    <row r="139" spans="3:10" x14ac:dyDescent="0.35">
      <c r="C139" s="8"/>
    </row>
    <row r="140" spans="3:10" x14ac:dyDescent="0.35">
      <c r="D140" s="131"/>
    </row>
    <row r="141" spans="3:10" x14ac:dyDescent="0.35">
      <c r="F141" s="8"/>
      <c r="G141" s="8"/>
      <c r="H141" s="8"/>
      <c r="I141" s="8"/>
    </row>
    <row r="142" spans="3:10" x14ac:dyDescent="0.35">
      <c r="F142" s="8"/>
      <c r="G142" s="8"/>
      <c r="H142" s="8"/>
    </row>
    <row r="143" spans="3:10" x14ac:dyDescent="0.35">
      <c r="H143" s="118"/>
    </row>
    <row r="145" spans="4:7" x14ac:dyDescent="0.35">
      <c r="F145" s="131"/>
      <c r="G145" s="131"/>
    </row>
    <row r="147" spans="4:7" x14ac:dyDescent="0.35">
      <c r="D147" s="131"/>
    </row>
  </sheetData>
  <phoneticPr fontId="4" type="noConversion"/>
  <hyperlinks>
    <hyperlink ref="D66" r:id="rId1" xr:uid="{97073CAA-4918-4D40-ADA0-76B1BAD8CA30}"/>
    <hyperlink ref="E95" r:id="rId2" xr:uid="{852A09E7-7DBE-4E62-BF0A-1B58D7DAE1B9}"/>
    <hyperlink ref="AB2" r:id="rId3" xr:uid="{9491CDC2-E659-4BDB-BD66-CA5EC8707D58}"/>
    <hyperlink ref="D81" r:id="rId4" xr:uid="{B3166E38-AF33-48D5-A651-1280EEF49E94}"/>
    <hyperlink ref="E81" r:id="rId5" xr:uid="{C84FF0A1-0E82-4FFC-B35B-143967BC8496}"/>
    <hyperlink ref="G81:J81" r:id="rId6" display="https://en.wikipedia.org/wiki/Tesla_Dojo" xr:uid="{2A0510F1-F9FE-4DF7-86B6-2BB676A9589A}"/>
    <hyperlink ref="D95" r:id="rId7" xr:uid="{3664A37B-EC5C-4C5F-919D-3EB388E38CE3}"/>
    <hyperlink ref="Q95" r:id="rId8" xr:uid="{8FE55DF0-2B64-4252-800B-B42F9B101640}"/>
    <hyperlink ref="I95" r:id="rId9" xr:uid="{C33B5DA4-C0F8-4FC3-BE4D-887A13F3D3C5}"/>
    <hyperlink ref="H95" r:id="rId10" xr:uid="{DC44DB62-A672-4DB1-9D85-EB8B4CDF5E6E}"/>
    <hyperlink ref="P95" r:id="rId11" xr:uid="{C830E188-05CF-42B3-86BD-2D8CE57A69FA}"/>
    <hyperlink ref="M95" r:id="rId12" xr:uid="{C3AD38DC-4D7A-4792-818F-357CC4192771}"/>
    <hyperlink ref="M66" r:id="rId13" xr:uid="{08475DC6-3C0C-4437-8311-E2B06ACB2153}"/>
    <hyperlink ref="I66" r:id="rId14" xr:uid="{28524060-30F3-448C-8915-757CDF104BBD}"/>
    <hyperlink ref="H66" r:id="rId15" xr:uid="{58A0F25F-9B5C-4FB9-9D4A-067E5BB562CA}"/>
    <hyperlink ref="Q66" r:id="rId16" xr:uid="{48680C8B-1AE2-4D2A-A0F1-AC49E4C82E04}"/>
    <hyperlink ref="G94" r:id="rId17" xr:uid="{E1E6A597-D21C-4AD1-86E5-8BF426DD6EF5}"/>
    <hyperlink ref="E94" r:id="rId18" xr:uid="{44D68A3C-6F18-4C84-ABF6-B7A33832B071}"/>
    <hyperlink ref="M81" r:id="rId19" xr:uid="{989C9FB4-A5C8-4249-9D8E-A6762755E8AD}"/>
    <hyperlink ref="D98" r:id="rId20" xr:uid="{296FE5BB-2ABA-4CA8-8B79-1EE176489EEE}"/>
    <hyperlink ref="E98:I98" r:id="rId21" display="https://www.tomshardware.com/news/startup-builds-supercomputer-with-22000-nvidias-h100-compute-gpus" xr:uid="{D025B833-ACAB-41F2-95A8-AA9DC0206DED}"/>
    <hyperlink ref="D77" r:id="rId22" xr:uid="{13DE2428-5FA1-4CD6-9C2D-66DB738FB435}"/>
    <hyperlink ref="D94" r:id="rId23" xr:uid="{198349DB-1A97-45FE-AA4B-30DCD2CC426B}"/>
    <hyperlink ref="O94" r:id="rId24" xr:uid="{DAC15F2E-9113-409C-A5A7-9550B859D827}"/>
    <hyperlink ref="K94" r:id="rId25" xr:uid="{44887330-4152-4129-AFB6-5DA4FD86CA94}"/>
    <hyperlink ref="F94" r:id="rId26" xr:uid="{1CEEF87B-7C51-453C-964F-95EC93F5D5F0}"/>
    <hyperlink ref="Q94" r:id="rId27" xr:uid="{53388E71-0C0A-4F28-B58C-83D55428B8E2}"/>
    <hyperlink ref="H104" r:id="rId28" xr:uid="{C2223223-FD55-428B-87FF-72621D2EE9A7}"/>
    <hyperlink ref="E77" r:id="rId29" xr:uid="{4BC4B772-EBFA-4E36-88F2-03CA8D9DEE00}"/>
    <hyperlink ref="J104" r:id="rId30" xr:uid="{595E8ACC-588B-465C-AF78-3EDD8164CA86}"/>
    <hyperlink ref="K104" r:id="rId31" xr:uid="{96130983-FEC1-4A16-BA48-AD26056BD093}"/>
    <hyperlink ref="H105" r:id="rId32" xr:uid="{CAB50DB6-5B6E-4E48-9A94-408BF80ED9A7}"/>
    <hyperlink ref="J105" r:id="rId33" xr:uid="{5ECC00AB-1F61-434B-9ABF-DBD4C9CD59FA}"/>
    <hyperlink ref="G65" r:id="rId34" xr:uid="{D0FFAC24-B8A5-4E54-AF90-ED7698C49DD9}"/>
    <hyperlink ref="I65" r:id="rId35" xr:uid="{AECB9171-445D-4C84-8EF1-2B2CF6728BB7}"/>
    <hyperlink ref="F65" r:id="rId36" xr:uid="{DA9C0038-FBBC-4B81-9039-FCB569FF7C72}"/>
    <hyperlink ref="K95" r:id="rId37" xr:uid="{CB1CBC7D-660E-407C-9A4A-BD129E61FCFF}"/>
    <hyperlink ref="E100:F100" r:id="rId38" display="https://en.wikipedia.org/wiki/GPT-4" xr:uid="{38D2DE39-7942-434E-912A-FB6322CD18B1}"/>
    <hyperlink ref="F100" r:id="rId39" xr:uid="{44879956-B2B1-44DE-BC27-74E660AE05FD}"/>
    <hyperlink ref="E100" r:id="rId40" xr:uid="{461B7718-F6DF-4490-82A7-3B03C37D0A0D}"/>
    <hyperlink ref="G100" r:id="rId41" xr:uid="{7AE733CB-D9B6-4394-ADF2-ECA98B06E12F}"/>
    <hyperlink ref="I100" r:id="rId42" xr:uid="{4B39D2FF-DB72-4B1D-884E-F5D24DE792A6}"/>
    <hyperlink ref="L100" r:id="rId43" xr:uid="{FE12DC52-71BB-40BC-98D5-0F12A35C8574}"/>
    <hyperlink ref="O95" r:id="rId44" xr:uid="{3DF92935-EF91-40E7-ACD9-0FFB598CC73E}"/>
    <hyperlink ref="K98" r:id="rId45" xr:uid="{CDB807F9-0915-4D56-9364-59379E2EDC42}"/>
    <hyperlink ref="D101" r:id="rId46" xr:uid="{15AFE7A5-181C-4DC9-B900-248CD17B723A}"/>
    <hyperlink ref="E101" r:id="rId47" xr:uid="{9ADAAB81-D2E0-4519-A382-1C4037190C5C}"/>
    <hyperlink ref="G101" r:id="rId48" location="Memory_controller?utm_content=cmp-true" xr:uid="{770FB5B2-DD36-4226-A1FF-BA384A803EA2}"/>
    <hyperlink ref="D65" r:id="rId49" xr:uid="{4A82A1D3-6F10-4F58-AE38-7C6C1C448F4A}"/>
    <hyperlink ref="V65" r:id="rId50" xr:uid="{4E05A348-A8A8-4174-B3A3-268611938BED}"/>
    <hyperlink ref="G82" r:id="rId51" xr:uid="{4CB1A2F4-35D5-4416-B72A-A0786FB38A29}"/>
    <hyperlink ref="F81" r:id="rId52" xr:uid="{CA3FCEF5-F2AD-4136-9566-084E699F0B5D}"/>
    <hyperlink ref="F101" r:id="rId53" location="Memory_controller?utm_content=cmp-true" xr:uid="{21AD2C50-5476-4837-A415-A3E45B585C02}"/>
    <hyperlink ref="I101:J101" r:id="rId54" location="Memory_controller?utm_content=cmp-true" display="https://en.wikichip.org/wiki/tesla_(car_company)/fsd_chip#Memory_controller?utm_content=cmp-true" xr:uid="{7E741B65-9200-426C-8AFA-9709E1505BC9}"/>
    <hyperlink ref="D82" r:id="rId55" xr:uid="{42000859-BEEC-4B91-BAFB-B48A5B007E8A}"/>
    <hyperlink ref="E82" r:id="rId56" xr:uid="{ED2689D1-8D98-47C7-9D78-D8B634C710BB}"/>
    <hyperlink ref="F82" r:id="rId57" xr:uid="{334A777D-D946-4447-B604-9D16755A119E}"/>
    <hyperlink ref="I82" r:id="rId58" xr:uid="{F905DE50-9AB5-4590-A07A-8A6DCE4AF590}"/>
    <hyperlink ref="R83" r:id="rId59" xr:uid="{24F513DB-8E0D-49E9-BE26-B1377F44BED6}"/>
    <hyperlink ref="O83" r:id="rId60" xr:uid="{DE3DC3D0-B9B4-429C-AF0E-EFF0C11CB7B2}"/>
    <hyperlink ref="D83" r:id="rId61" xr:uid="{1C5BEDAC-B8C8-40E1-8EFC-7C6EC7EE204E}"/>
    <hyperlink ref="E83" r:id="rId62" xr:uid="{5311EB46-78F4-4538-84F3-4D9CBE5014B0}"/>
    <hyperlink ref="D90" r:id="rId63" xr:uid="{C15E23C0-D68F-470A-A57E-2712C8CD5FA6}"/>
    <hyperlink ref="R90" r:id="rId64" xr:uid="{8A6E5F88-8C5F-49DD-A973-8A6D44A81AC7}"/>
    <hyperlink ref="E90:F90" r:id="rId65" display="https://www.tomshardware.com/news/google-a3-supercomputer-h100-googleio" xr:uid="{9220DA8E-675B-4AA1-A7C0-3BE6C4B2F244}"/>
    <hyperlink ref="G91" r:id="rId66" xr:uid="{7E154624-4CC8-4369-9B50-F6F3C0D4318C}"/>
    <hyperlink ref="D91" r:id="rId67" xr:uid="{186A0B8B-ACA1-4AE5-89AC-E91A12D7E27D}"/>
    <hyperlink ref="E91:F91" r:id="rId68" display="https://stability.ai/about" xr:uid="{0023280B-5433-4DFB-A0E9-12703E05C5DC}"/>
    <hyperlink ref="I91" r:id="rId69" xr:uid="{DEBBAEEC-7A6A-4E1E-AA9E-6AE06D5AA4B7}"/>
    <hyperlink ref="K91" r:id="rId70" xr:uid="{49E9B061-65E2-41BB-A2A5-81CC86CFF0A7}"/>
    <hyperlink ref="I87" r:id="rId71" xr:uid="{E9F91C35-8536-439E-932B-AA0AA7287164}"/>
    <hyperlink ref="G93" r:id="rId72" xr:uid="{1BF7E1E5-207B-482E-9AF9-EC15360FD820}"/>
    <hyperlink ref="D93" r:id="rId73" xr:uid="{B3763669-37E0-4D61-A252-D083CEBED18D}"/>
    <hyperlink ref="E93:F93" r:id="rId74" display="https://stability.ai/about" xr:uid="{411FAF4C-C08E-49B6-9ADE-68924D0F3B2E}"/>
    <hyperlink ref="I93" r:id="rId75" xr:uid="{A40BAF64-CC8E-47E5-BB2D-97DA03E6C25C}"/>
    <hyperlink ref="K93" r:id="rId76" display="https://youtu.be/1WOjjgyZPj8?si=_G-vzWiiSfFmYcEz&amp;t=4488" xr:uid="{2EBA74B2-F01E-460F-99A3-F622C9FEC726}"/>
    <hyperlink ref="D92" r:id="rId77" xr:uid="{5E6F1301-DE5F-4052-841F-09AC855A647C}"/>
    <hyperlink ref="G92" r:id="rId78" xr:uid="{8FB188D4-12F1-49BB-B43F-389A2150A9E6}"/>
    <hyperlink ref="F92" r:id="rId79" xr:uid="{8BC57B17-AE4D-4477-9E6C-7002F845DE61}"/>
    <hyperlink ref="E92" r:id="rId80" xr:uid="{399A3F54-D9C5-43ED-8715-A2E26D723BFF}"/>
    <hyperlink ref="I92" r:id="rId81" xr:uid="{E786E0B0-8CE5-402E-BD02-B8D277663BE5}"/>
    <hyperlink ref="M67" r:id="rId82" xr:uid="{5D0A8864-FAD2-4428-8C4E-07CDA37599CF}"/>
    <hyperlink ref="G71" r:id="rId83" xr:uid="{D6136FB3-37F4-409F-B840-C078E3DF794D}"/>
    <hyperlink ref="D71" r:id="rId84" xr:uid="{4D9D0DFD-80ED-4109-BBFB-9689ADB4A8EC}"/>
    <hyperlink ref="E73" r:id="rId85" xr:uid="{2B46D30D-17BA-4DC3-967E-0432FE96AB66}"/>
    <hyperlink ref="F73" r:id="rId86" xr:uid="{AACB36A8-B7DE-42C2-82C7-247657B61BA7}"/>
    <hyperlink ref="I73" r:id="rId87" xr:uid="{DAB15E9D-3D49-4370-BDC6-C0BEA8387BA4}"/>
    <hyperlink ref="Q72" r:id="rId88" xr:uid="{03235893-541F-48CF-A3E8-7B3AC6ED47C4}"/>
    <hyperlink ref="Q73" r:id="rId89" xr:uid="{182937CA-FD28-438C-B21E-8EDBB48B0ACE}"/>
    <hyperlink ref="D67" r:id="rId90" xr:uid="{2876B6A4-3A62-46C3-8064-7FC310D70877}"/>
    <hyperlink ref="E67" r:id="rId91" xr:uid="{64D6B60F-026E-42E7-80B0-78F5CE177B90}"/>
    <hyperlink ref="E66" r:id="rId92" xr:uid="{54302B85-3DB5-4125-B1E9-FB17080633DB}"/>
    <hyperlink ref="M96" r:id="rId93" xr:uid="{DD125F58-6538-44B2-9927-1A98F8A41E93}"/>
    <hyperlink ref="O56" r:id="rId94" xr:uid="{9D15F2A2-DC2E-4106-9C9D-EC9C917679D7}"/>
    <hyperlink ref="P101" r:id="rId95" xr:uid="{D94164E4-8406-4B67-AD91-7AEF1D62BD39}"/>
    <hyperlink ref="R101" r:id="rId96" location="CPU" xr:uid="{A77FA090-B343-431E-8700-3FADFE88A3DF}"/>
    <hyperlink ref="M101" r:id="rId97" location="Memory_controller" xr:uid="{792E4888-CA29-40E0-9514-ECB1D7778AF4}"/>
    <hyperlink ref="K101" r:id="rId98" location="Memory_controller?utm_content=cmp-true" xr:uid="{3C8542D8-F718-4EA6-A8E8-29B3249AB994}"/>
    <hyperlink ref="I80" r:id="rId99" xr:uid="{C5731BED-9879-4203-B0B8-F9196129A8DE}"/>
    <hyperlink ref="D105" r:id="rId100" xr:uid="{145C0CB4-B0DE-4D8E-ABF2-BDEF6E6D2A6E}"/>
    <hyperlink ref="E105" r:id="rId101" xr:uid="{ABB1E88F-096C-4DED-8C85-389043DA51AA}"/>
    <hyperlink ref="E78" r:id="rId102" xr:uid="{4D410BC3-6AEE-48E8-A2F7-B2D52232E51D}"/>
    <hyperlink ref="G86" r:id="rId103" xr:uid="{C5144DB3-A907-4347-9F16-5AFEAA3745A3}"/>
    <hyperlink ref="E86" r:id="rId104" xr:uid="{ECDBE2BF-C015-497F-93FC-4DD8320A1B6B}"/>
    <hyperlink ref="I85" r:id="rId105" xr:uid="{9D202DD9-572C-4081-8DB6-047B38407600}"/>
    <hyperlink ref="S69" r:id="rId106" xr:uid="{1E548B45-39D7-4C2A-A241-1A36878485FC}"/>
    <hyperlink ref="R68" r:id="rId107" xr:uid="{05AF9F00-08C2-4BBF-B426-21F0DCC1FC9D}"/>
    <hyperlink ref="J70" r:id="rId108" xr:uid="{6DB74244-1FA1-4D98-9D17-E5D6318F5C15}"/>
  </hyperlinks>
  <pageMargins left="0.7" right="0.7" top="0.75" bottom="0.75" header="0.3" footer="0.3"/>
  <pageSetup paperSize="9" orientation="portrait" verticalDpi="0" r:id="rId10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01B16-6004-41AF-82A7-7495823E751A}">
  <dimension ref="A1:AV98"/>
  <sheetViews>
    <sheetView workbookViewId="0">
      <pane xSplit="9" ySplit="12" topLeftCell="J13" activePane="bottomRight" state="frozen"/>
      <selection pane="topRight" activeCell="J1" sqref="J1"/>
      <selection pane="bottomLeft" activeCell="A12" sqref="A12"/>
      <selection pane="bottomRight" activeCell="C27" sqref="C27"/>
    </sheetView>
  </sheetViews>
  <sheetFormatPr defaultRowHeight="14.5" x14ac:dyDescent="0.35"/>
  <cols>
    <col min="1" max="1" width="2" customWidth="1"/>
    <col min="2" max="2" width="8.08984375" customWidth="1"/>
    <col min="3" max="3" width="28.1796875" customWidth="1"/>
    <col min="4" max="4" width="11.26953125" customWidth="1"/>
    <col min="5" max="5" width="9.6328125" customWidth="1"/>
    <col min="6" max="6" width="11.453125" customWidth="1"/>
    <col min="7" max="7" width="10.1796875" customWidth="1"/>
    <col min="8" max="8" width="11.26953125" customWidth="1"/>
    <col min="9" max="9" width="11.81640625" customWidth="1"/>
    <col min="10" max="10" width="11.453125" customWidth="1"/>
    <col min="11" max="11" width="8.81640625" customWidth="1"/>
    <col min="12" max="12" width="8.453125" customWidth="1"/>
    <col min="13" max="13" width="9.453125" customWidth="1"/>
    <col min="14" max="14" width="8.81640625" customWidth="1"/>
    <col min="15" max="15" width="8.6328125" customWidth="1"/>
    <col min="16" max="16" width="11.36328125" customWidth="1"/>
    <col min="17" max="17" width="10.6328125" customWidth="1"/>
    <col min="18" max="18" width="10.81640625" customWidth="1"/>
    <col min="19" max="19" width="13" customWidth="1"/>
    <col min="20" max="20" width="7.7265625" customWidth="1"/>
    <col min="21" max="21" width="10.7265625" customWidth="1"/>
    <col min="22" max="22" width="16" customWidth="1"/>
    <col min="23" max="23" width="14.90625" customWidth="1"/>
    <col min="24" max="24" width="13.90625" customWidth="1"/>
    <col min="25" max="25" width="6.6328125" customWidth="1"/>
    <col min="26" max="26" width="22.7265625" customWidth="1"/>
    <col min="27" max="27" width="7.26953125" customWidth="1"/>
    <col min="28" max="28" width="9.08984375" customWidth="1"/>
    <col min="29" max="29" width="8.7265625" customWidth="1"/>
    <col min="30" max="30" width="5.453125" customWidth="1"/>
    <col min="31" max="31" width="23.54296875" customWidth="1"/>
    <col min="32" max="32" width="11.7265625" customWidth="1"/>
    <col min="33" max="33" width="9" customWidth="1"/>
    <col min="34" max="34" width="10.36328125" customWidth="1"/>
    <col min="35" max="35" width="10.08984375" customWidth="1"/>
    <col min="36" max="36" width="11.1796875" customWidth="1"/>
    <col min="37" max="37" width="12.1796875" customWidth="1"/>
    <col min="38" max="38" width="11" customWidth="1"/>
    <col min="39" max="39" width="9.7265625" customWidth="1"/>
    <col min="40" max="40" width="8.26953125" customWidth="1"/>
    <col min="41" max="41" width="9.26953125" customWidth="1"/>
    <col min="42" max="42" width="10.453125" customWidth="1"/>
    <col min="43" max="43" width="10.90625" customWidth="1"/>
    <col min="44" max="44" width="12.90625" customWidth="1"/>
    <col min="45" max="45" width="10.54296875" customWidth="1"/>
    <col min="46" max="46" width="13.36328125" customWidth="1"/>
    <col min="47" max="47" width="15" customWidth="1"/>
    <col min="48" max="48" width="14" customWidth="1"/>
  </cols>
  <sheetData>
    <row r="1" spans="1:30" ht="28.5" x14ac:dyDescent="0.65">
      <c r="A1" s="9" t="str">
        <f>AI_Models!A1</f>
        <v>Path towards AGI &amp; artificial humans - How close are AIs and robotics from being able to do any work that humans can do? #74/101</v>
      </c>
    </row>
    <row r="2" spans="1:30" ht="15.5" x14ac:dyDescent="0.35">
      <c r="A2" s="10" t="str">
        <f>KeyChips!A2</f>
        <v>Proprietary. © H. Mathiesen. This material can be used by others free of charge provided that the author H. Mathiesen is attributed and a clickable link is made visible to the location of used material on www.hmexperience.dk</v>
      </c>
      <c r="X2" s="185"/>
      <c r="Z2" s="2">
        <v>1000</v>
      </c>
      <c r="AA2" t="s">
        <v>393</v>
      </c>
      <c r="AB2" t="s">
        <v>392</v>
      </c>
      <c r="AC2" s="14" t="s">
        <v>126</v>
      </c>
      <c r="AD2" t="s">
        <v>45</v>
      </c>
    </row>
    <row r="3" spans="1:30" ht="15.5" x14ac:dyDescent="0.35">
      <c r="A3" s="414" t="str">
        <f>AI_Models!A3</f>
        <v>Links to all sources are available in sources table below</v>
      </c>
      <c r="B3" s="415"/>
      <c r="C3" s="415"/>
      <c r="D3" s="415"/>
      <c r="E3" s="415"/>
      <c r="X3" s="185"/>
      <c r="Z3" s="2">
        <v>1000000</v>
      </c>
      <c r="AA3" t="s">
        <v>318</v>
      </c>
      <c r="AB3" t="s">
        <v>371</v>
      </c>
    </row>
    <row r="4" spans="1:30" ht="15.5" x14ac:dyDescent="0.35">
      <c r="A4" s="1023"/>
      <c r="M4">
        <v>2</v>
      </c>
      <c r="N4" t="s">
        <v>3114</v>
      </c>
      <c r="O4" s="118">
        <f>AI_Supercomputers!K4</f>
        <v>2.0129870129870131</v>
      </c>
      <c r="P4" t="s">
        <v>192</v>
      </c>
      <c r="Q4" s="118">
        <f>1/0.2</f>
        <v>5</v>
      </c>
      <c r="R4" s="12" t="s">
        <v>1981</v>
      </c>
      <c r="S4" s="127" t="s">
        <v>1071</v>
      </c>
      <c r="U4" s="118" t="s">
        <v>45</v>
      </c>
      <c r="X4" s="355">
        <v>8.3000000000000001E-3</v>
      </c>
      <c r="Z4" s="2">
        <v>1000000000</v>
      </c>
      <c r="AA4" t="s">
        <v>231</v>
      </c>
      <c r="AB4" t="s">
        <v>230</v>
      </c>
    </row>
    <row r="5" spans="1:30" ht="24" thickBot="1" x14ac:dyDescent="0.6">
      <c r="B5" s="30" t="s">
        <v>1610</v>
      </c>
      <c r="C5" s="31"/>
      <c r="D5" s="31"/>
      <c r="E5" s="31"/>
      <c r="F5" s="31"/>
      <c r="G5" s="31"/>
      <c r="H5" s="31"/>
      <c r="I5" s="31"/>
      <c r="J5" s="31"/>
      <c r="K5" s="31"/>
      <c r="L5" s="31"/>
      <c r="M5" s="31"/>
      <c r="N5" s="31"/>
      <c r="O5" s="31"/>
      <c r="P5" s="31"/>
      <c r="Q5" s="31"/>
      <c r="R5" s="31"/>
      <c r="S5" s="31"/>
      <c r="T5" s="31"/>
      <c r="U5" s="31"/>
      <c r="V5" s="31" t="s">
        <v>1607</v>
      </c>
      <c r="W5" s="31" t="s">
        <v>1608</v>
      </c>
      <c r="X5" s="31"/>
      <c r="Y5" s="31"/>
      <c r="Z5" s="2">
        <v>1000000000000</v>
      </c>
      <c r="AA5" t="s">
        <v>127</v>
      </c>
      <c r="AB5" t="s">
        <v>124</v>
      </c>
    </row>
    <row r="6" spans="1:30" ht="15" thickTop="1" x14ac:dyDescent="0.35">
      <c r="B6" s="76" t="s">
        <v>7</v>
      </c>
      <c r="C6" s="19" t="s">
        <v>911</v>
      </c>
      <c r="D6" s="77" t="s">
        <v>233</v>
      </c>
      <c r="E6" s="77" t="s">
        <v>497</v>
      </c>
      <c r="F6" s="77" t="s">
        <v>497</v>
      </c>
      <c r="G6" s="77" t="s">
        <v>497</v>
      </c>
      <c r="H6" s="77" t="s">
        <v>943</v>
      </c>
      <c r="I6" s="77" t="s">
        <v>942</v>
      </c>
      <c r="J6" s="77" t="s">
        <v>904</v>
      </c>
      <c r="K6" s="77" t="s">
        <v>2003</v>
      </c>
      <c r="L6" s="77" t="s">
        <v>394</v>
      </c>
      <c r="M6" s="77" t="s">
        <v>906</v>
      </c>
      <c r="N6" s="168" t="s">
        <v>876</v>
      </c>
      <c r="O6" s="77" t="s">
        <v>910</v>
      </c>
      <c r="P6" s="77" t="s">
        <v>1978</v>
      </c>
      <c r="Q6" s="77" t="s">
        <v>558</v>
      </c>
      <c r="R6" s="77" t="s">
        <v>1976</v>
      </c>
      <c r="S6" s="77" t="s">
        <v>383</v>
      </c>
      <c r="T6" s="77" t="s">
        <v>2925</v>
      </c>
      <c r="U6" s="77" t="s">
        <v>933</v>
      </c>
      <c r="V6" s="168" t="s">
        <v>851</v>
      </c>
      <c r="W6" s="168" t="s">
        <v>851</v>
      </c>
      <c r="X6" s="78" t="s">
        <v>934</v>
      </c>
      <c r="Z6" s="2">
        <v>1000000000000000</v>
      </c>
      <c r="AA6" t="s">
        <v>146</v>
      </c>
      <c r="AB6" t="s">
        <v>145</v>
      </c>
    </row>
    <row r="7" spans="1:30" x14ac:dyDescent="0.35">
      <c r="B7" s="21">
        <v>1993</v>
      </c>
      <c r="C7" s="13" t="s">
        <v>858</v>
      </c>
      <c r="D7" s="159">
        <v>0.124</v>
      </c>
      <c r="E7" s="120" t="s">
        <v>26</v>
      </c>
      <c r="F7" s="121" t="s">
        <v>888</v>
      </c>
      <c r="G7" s="121" t="s">
        <v>698</v>
      </c>
      <c r="H7" s="122" t="s">
        <v>384</v>
      </c>
      <c r="I7" s="121" t="s">
        <v>944</v>
      </c>
      <c r="J7" s="121" t="s">
        <v>905</v>
      </c>
      <c r="K7" s="121" t="s">
        <v>540</v>
      </c>
      <c r="L7" s="121" t="s">
        <v>908</v>
      </c>
      <c r="M7" s="121" t="s">
        <v>912</v>
      </c>
      <c r="N7" s="178" t="s">
        <v>877</v>
      </c>
      <c r="O7" s="120" t="s">
        <v>909</v>
      </c>
      <c r="P7" s="120" t="s">
        <v>1980</v>
      </c>
      <c r="Q7" s="120" t="s">
        <v>1959</v>
      </c>
      <c r="R7" s="120" t="s">
        <v>2165</v>
      </c>
      <c r="S7" s="122" t="s">
        <v>384</v>
      </c>
      <c r="T7" s="142" t="s">
        <v>2004</v>
      </c>
      <c r="U7" s="142" t="s">
        <v>1072</v>
      </c>
      <c r="V7" s="169" t="s">
        <v>1609</v>
      </c>
      <c r="W7" s="169" t="s">
        <v>852</v>
      </c>
      <c r="X7" s="143" t="s">
        <v>935</v>
      </c>
      <c r="Z7" s="2">
        <v>1E+18</v>
      </c>
      <c r="AA7" t="s">
        <v>128</v>
      </c>
      <c r="AB7" t="s">
        <v>125</v>
      </c>
    </row>
    <row r="8" spans="1:30" ht="15" thickBot="1" x14ac:dyDescent="0.4">
      <c r="B8" s="21">
        <v>2023</v>
      </c>
      <c r="C8" s="13" t="str">
        <f>C15</f>
        <v>Tesla, H100</v>
      </c>
      <c r="D8" s="159">
        <f>E15*Z3</f>
        <v>670000</v>
      </c>
      <c r="E8" s="125" t="s">
        <v>903</v>
      </c>
      <c r="F8" s="125" t="s">
        <v>903</v>
      </c>
      <c r="G8" s="125" t="s">
        <v>903</v>
      </c>
      <c r="H8" s="122" t="s">
        <v>945</v>
      </c>
      <c r="I8" s="122" t="s">
        <v>943</v>
      </c>
      <c r="J8" s="122" t="s">
        <v>903</v>
      </c>
      <c r="K8" s="122" t="s">
        <v>550</v>
      </c>
      <c r="L8" s="121" t="s">
        <v>907</v>
      </c>
      <c r="M8" s="121" t="s">
        <v>445</v>
      </c>
      <c r="N8" s="179" t="s">
        <v>865</v>
      </c>
      <c r="O8" s="120" t="s">
        <v>903</v>
      </c>
      <c r="P8" s="120" t="s">
        <v>1979</v>
      </c>
      <c r="Q8" s="120" t="s">
        <v>1070</v>
      </c>
      <c r="R8" s="120" t="s">
        <v>445</v>
      </c>
      <c r="S8" s="122" t="s">
        <v>541</v>
      </c>
      <c r="T8" s="125" t="s">
        <v>865</v>
      </c>
      <c r="U8" s="142" t="s">
        <v>1073</v>
      </c>
      <c r="V8" s="144">
        <f>AI_Models!K120</f>
        <v>40192</v>
      </c>
      <c r="W8" s="125">
        <f>AI_Models!K170</f>
        <v>12900</v>
      </c>
      <c r="X8" s="964" t="s">
        <v>913</v>
      </c>
    </row>
    <row r="9" spans="1:30" ht="15" thickTop="1" x14ac:dyDescent="0.35">
      <c r="B9" s="306" t="s">
        <v>922</v>
      </c>
      <c r="C9" s="313"/>
      <c r="D9" s="364" t="s">
        <v>45</v>
      </c>
      <c r="E9" s="356">
        <f>((D8/D7)^(1/($B8-$B7)))-1</f>
        <v>0.67657030812935703</v>
      </c>
      <c r="F9" s="364" t="s">
        <v>45</v>
      </c>
      <c r="G9" s="364" t="s">
        <v>45</v>
      </c>
      <c r="H9" s="364">
        <f>Calc_Moores_Law!E8</f>
        <v>0.38704901651406454</v>
      </c>
      <c r="I9" s="364" t="s">
        <v>45</v>
      </c>
      <c r="J9" s="364" t="s">
        <v>45</v>
      </c>
      <c r="K9" s="364" t="s">
        <v>45</v>
      </c>
      <c r="L9" s="364" t="s">
        <v>45</v>
      </c>
      <c r="M9" s="364" t="s">
        <v>45</v>
      </c>
      <c r="N9" s="364" t="s">
        <v>45</v>
      </c>
      <c r="O9" s="364" t="s">
        <v>45</v>
      </c>
      <c r="P9" s="364" t="s">
        <v>45</v>
      </c>
      <c r="Q9" s="364" t="s">
        <v>45</v>
      </c>
      <c r="R9" s="364" t="s">
        <v>45</v>
      </c>
      <c r="S9" s="364" t="s">
        <v>45</v>
      </c>
      <c r="T9" s="364" t="s">
        <v>45</v>
      </c>
      <c r="U9" s="364" t="s">
        <v>45</v>
      </c>
      <c r="V9" s="364" t="s">
        <v>45</v>
      </c>
      <c r="W9" s="364" t="s">
        <v>45</v>
      </c>
      <c r="X9" s="933" t="s">
        <v>45</v>
      </c>
    </row>
    <row r="10" spans="1:30" x14ac:dyDescent="0.35">
      <c r="B10" s="302" t="s">
        <v>915</v>
      </c>
      <c r="C10" s="101"/>
      <c r="D10" s="363" t="s">
        <v>45</v>
      </c>
      <c r="E10" s="298">
        <f>((E21/E15)^(1/($B21-$B15)))-1</f>
        <v>1.6766920906215996</v>
      </c>
      <c r="F10" s="298">
        <f>((F21/F15)^(1/($B21-$B15)))-1</f>
        <v>1.9738872539828858</v>
      </c>
      <c r="G10" s="363" t="s">
        <v>45</v>
      </c>
      <c r="H10" s="363">
        <f>AVERAGE(H15:H21)</f>
        <v>0.84730295162215952</v>
      </c>
      <c r="I10" s="298">
        <f>((I21/I15)^(1/($B21-$B15)))-1</f>
        <v>0.73171574095321223</v>
      </c>
      <c r="J10" s="298">
        <f t="shared" ref="J10:V10" si="0">((J21/J15)^(1/($B21-$B15)))-1</f>
        <v>0.92761173188236024</v>
      </c>
      <c r="K10" s="298">
        <f t="shared" si="0"/>
        <v>8.8866888787002996E-2</v>
      </c>
      <c r="L10" s="363">
        <f>AVERAGE(L15:L21)</f>
        <v>1.9132693695193694</v>
      </c>
      <c r="M10" s="298">
        <f t="shared" si="0"/>
        <v>1.0989125892840725</v>
      </c>
      <c r="N10" s="298">
        <f t="shared" si="0"/>
        <v>0.29091831925428391</v>
      </c>
      <c r="O10" s="298">
        <f t="shared" si="0"/>
        <v>1.4883892970964161</v>
      </c>
      <c r="P10" s="298">
        <f>((P21/P15)^(1/($B21-$B15)))-1</f>
        <v>1.4883892970964161</v>
      </c>
      <c r="Q10" s="298">
        <f>((Q21/Q15)^(1/($B21-$B15)))-1</f>
        <v>-7.0000000000000062E-2</v>
      </c>
      <c r="R10" s="298">
        <f>((R21/R15)^(1/($B21-$B15)))-1</f>
        <v>1.3142020462996666</v>
      </c>
      <c r="S10" s="363" t="s">
        <v>45</v>
      </c>
      <c r="T10" s="298">
        <f t="shared" ref="T10" si="1">((T21/T15)^(1/($B21-$B15)))-1</f>
        <v>0.49575730065811108</v>
      </c>
      <c r="U10" s="298">
        <f>((U21/U15)^(1/($B21-$B15)))-1</f>
        <v>1.8832393207972657</v>
      </c>
      <c r="V10" s="298">
        <f t="shared" si="0"/>
        <v>1.8832393207972657</v>
      </c>
      <c r="W10" s="298">
        <f>((W21/W15)^(1/($B21-$B15)))-1</f>
        <v>2.338075578546766</v>
      </c>
      <c r="X10" s="965">
        <f>((X21/X15)^(1/($B21-$B15)))-1</f>
        <v>8.2999999999999741E-3</v>
      </c>
    </row>
    <row r="11" spans="1:30" x14ac:dyDescent="0.35">
      <c r="B11" s="302" t="s">
        <v>916</v>
      </c>
      <c r="C11" s="101"/>
      <c r="D11" s="363" t="s">
        <v>45</v>
      </c>
      <c r="E11" s="298">
        <f>((E37/E21)^(1/($B37-$B21)))-1</f>
        <v>0.39048561361503253</v>
      </c>
      <c r="F11" s="298">
        <f>((F37/F21)^(1/($B37-$B21)))-1</f>
        <v>0.39048561361503253</v>
      </c>
      <c r="G11" s="298">
        <f t="shared" ref="G11:V11" si="2">((G37/G21)^(1/($B37-$B21)))-1</f>
        <v>0.39048561361503253</v>
      </c>
      <c r="H11" s="363">
        <f>AVERAGE(H21:H37)</f>
        <v>0.15711853197187747</v>
      </c>
      <c r="I11" s="298">
        <f>((I37/I21)^(1/($B37-$B21)))-1</f>
        <v>0.13632129779290159</v>
      </c>
      <c r="J11" s="298">
        <f t="shared" si="2"/>
        <v>0.22367293151663969</v>
      </c>
      <c r="K11" s="298">
        <f t="shared" si="2"/>
        <v>-0.10106698312216267</v>
      </c>
      <c r="L11" s="363">
        <f>AVERAGE(L21:L37)</f>
        <v>0.10000000000000002</v>
      </c>
      <c r="M11" s="298">
        <f t="shared" si="2"/>
        <v>0.10000000000000009</v>
      </c>
      <c r="N11" s="298">
        <f t="shared" si="2"/>
        <v>4.6602372183207397E-2</v>
      </c>
      <c r="O11" s="298">
        <f t="shared" si="2"/>
        <v>0.28069899290169453</v>
      </c>
      <c r="P11" s="298">
        <f>((P37/P21)^(1/($B37-$B21)))-1</f>
        <v>0.28069899290169453</v>
      </c>
      <c r="Q11" s="298">
        <f>((Q37/Q21)^(1/($B37-$B21)))-1</f>
        <v>-7.0000000000000062E-2</v>
      </c>
      <c r="R11" s="298">
        <f>((R37/R21)^(1/($B37-$B21)))-1</f>
        <v>0.19105006339857589</v>
      </c>
      <c r="S11" s="363">
        <f>AVERAGE(S21:S37)</f>
        <v>0.21671186588374666</v>
      </c>
      <c r="T11" s="298">
        <f t="shared" ref="T11" si="3">((T37/T21)^(1/($B37-$B21)))-1</f>
        <v>0.20589157852616147</v>
      </c>
      <c r="U11" s="298">
        <f t="shared" si="2"/>
        <v>0.47561688298633586</v>
      </c>
      <c r="V11" s="298">
        <f t="shared" si="2"/>
        <v>0.47561688298633586</v>
      </c>
      <c r="W11" s="298">
        <f>((W37/W21)^(1/($B37-$B21)))-1</f>
        <v>0.39048561361503253</v>
      </c>
      <c r="X11" s="965">
        <f>((X37/X21)^(1/($B37-$B21)))-1</f>
        <v>8.2999999999999741E-3</v>
      </c>
    </row>
    <row r="12" spans="1:30" ht="15" thickBot="1" x14ac:dyDescent="0.4">
      <c r="B12" s="66" t="s">
        <v>931</v>
      </c>
      <c r="C12" s="75"/>
      <c r="D12" s="252" t="s">
        <v>45</v>
      </c>
      <c r="E12" s="87">
        <f>((E37/E15)^(1/($B37-$B15)))-1</f>
        <v>0.66241267137192317</v>
      </c>
      <c r="F12" s="87">
        <f t="shared" ref="F12:V12" si="4">((F37/F15)^(1/($B37-$B15)))-1</f>
        <v>0.71084076834142551</v>
      </c>
      <c r="G12" s="252" t="s">
        <v>45</v>
      </c>
      <c r="H12" s="252">
        <f>AVERAGE(H15:H37)</f>
        <v>0.35717768210273765</v>
      </c>
      <c r="I12" s="87">
        <f>((I37/I15)^(1/($B37-$B15)))-1</f>
        <v>0.27468696366017387</v>
      </c>
      <c r="J12" s="87">
        <f t="shared" si="4"/>
        <v>0.38512582976873522</v>
      </c>
      <c r="K12" s="87">
        <f t="shared" si="4"/>
        <v>-5.2822910842772353E-2</v>
      </c>
      <c r="L12" s="252">
        <f>AVERAGE(L15:L37)</f>
        <v>0.65186459072328606</v>
      </c>
      <c r="M12" s="87">
        <f t="shared" si="4"/>
        <v>0.31195945155684024</v>
      </c>
      <c r="N12" s="87">
        <f t="shared" si="4"/>
        <v>0.10823489088237515</v>
      </c>
      <c r="O12" s="87">
        <f t="shared" si="4"/>
        <v>0.53504477281211349</v>
      </c>
      <c r="P12" s="87">
        <f t="shared" ref="P12" si="5">((P37/P15)^(1/($B37-$B15)))-1</f>
        <v>0.53504477281211349</v>
      </c>
      <c r="Q12" s="87">
        <f>((Q37/Q15)^(1/($B37-$B15)))-1</f>
        <v>-7.0000000000000062E-2</v>
      </c>
      <c r="R12" s="87">
        <f>((R37/R15)^(1/($B37-$B15)))-1</f>
        <v>0.4275916387152654</v>
      </c>
      <c r="S12" s="252" t="s">
        <v>45</v>
      </c>
      <c r="T12" s="87">
        <f t="shared" ref="T12" si="6">((T37/T15)^(1/($B37-$B15)))-1</f>
        <v>0.27885904969117759</v>
      </c>
      <c r="U12" s="87">
        <f t="shared" si="4"/>
        <v>0.77138070236074863</v>
      </c>
      <c r="V12" s="87">
        <f t="shared" si="4"/>
        <v>0.77138070236074863</v>
      </c>
      <c r="W12" s="87">
        <f>((W37/W15)^(1/($B37-$B15)))-1</f>
        <v>0.7656018382351879</v>
      </c>
      <c r="X12" s="70">
        <f t="shared" ref="X12" si="7">((X37/X15)^(1/($B37-$B15)))-1</f>
        <v>8.2999999999999741E-3</v>
      </c>
    </row>
    <row r="13" spans="1:30" ht="15" thickTop="1" x14ac:dyDescent="0.35">
      <c r="B13" s="299">
        <v>2021</v>
      </c>
      <c r="C13" s="195" t="s">
        <v>802</v>
      </c>
      <c r="D13" s="196" t="s">
        <v>45</v>
      </c>
      <c r="E13" s="651">
        <f>$J13*KeyChips!U11/Z$3</f>
        <v>0.5</v>
      </c>
      <c r="F13" s="197">
        <f>I13*J13/Z$3</f>
        <v>7.8</v>
      </c>
      <c r="G13" s="196" t="s">
        <v>45</v>
      </c>
      <c r="H13" s="338" t="s">
        <v>45</v>
      </c>
      <c r="I13" s="196">
        <f>KeyChips!W11</f>
        <v>312</v>
      </c>
      <c r="J13" s="197">
        <f>AI_Supercomputers!I10</f>
        <v>25000</v>
      </c>
      <c r="K13" s="341">
        <f>KeyChips!P11</f>
        <v>6000</v>
      </c>
      <c r="L13" s="338" t="s">
        <v>45</v>
      </c>
      <c r="M13" s="728">
        <f>J13*K13/Z$4*M$4</f>
        <v>0.3</v>
      </c>
      <c r="N13" s="196">
        <f>KeyChips!T11</f>
        <v>240</v>
      </c>
      <c r="O13" s="197">
        <f t="shared" ref="O13:O37" si="8">J13*N13*O$4/Z$3</f>
        <v>12.077922077922079</v>
      </c>
      <c r="P13" s="197">
        <f t="shared" ref="P13:P37" si="9">O13*Q$4</f>
        <v>60.389610389610397</v>
      </c>
      <c r="Q13" s="196" t="s">
        <v>45</v>
      </c>
      <c r="R13" s="729" t="s">
        <v>45</v>
      </c>
      <c r="S13" s="338" t="s">
        <v>45</v>
      </c>
      <c r="T13" s="196">
        <f>KeyChips!J11</f>
        <v>40</v>
      </c>
      <c r="U13" s="196">
        <f t="shared" ref="U13:U37" si="10">T13*J13/Z$2</f>
        <v>1000</v>
      </c>
      <c r="V13" s="196">
        <f t="shared" ref="V13:V37" si="11">U13/(V$8/Z$2)</f>
        <v>24.880573248407643</v>
      </c>
      <c r="W13" s="196">
        <f>(F13*Z$3)/W$8</f>
        <v>604.65116279069764</v>
      </c>
      <c r="X13" s="343" t="s">
        <v>45</v>
      </c>
    </row>
    <row r="14" spans="1:30" x14ac:dyDescent="0.35">
      <c r="B14" s="299">
        <v>2022</v>
      </c>
      <c r="C14" s="195" t="s">
        <v>626</v>
      </c>
      <c r="D14" s="338">
        <f t="shared" ref="D14:D20" si="12">(E14-E13)/E13</f>
        <v>-0.38252799999999998</v>
      </c>
      <c r="E14" s="651">
        <f>$J14*KeyChips!U$12/Z$3</f>
        <v>0.30873600000000001</v>
      </c>
      <c r="F14" s="197">
        <f>I14*J14/Z$3</f>
        <v>18.238464</v>
      </c>
      <c r="G14" s="196" t="s">
        <v>45</v>
      </c>
      <c r="H14" s="338">
        <f>(I14-I13)/I13</f>
        <v>11.685897435897436</v>
      </c>
      <c r="I14" s="196">
        <f>KeyChips!W$12</f>
        <v>3958</v>
      </c>
      <c r="J14" s="196">
        <f>AI_Supercomputers!I37</f>
        <v>4608</v>
      </c>
      <c r="K14" s="352">
        <f>KeyChips!P$12</f>
        <v>33000</v>
      </c>
      <c r="L14" s="339">
        <f t="shared" ref="L14:L20" si="13">(M14-M13)/M13</f>
        <v>1.3760000000000069E-2</v>
      </c>
      <c r="M14" s="728">
        <f t="shared" ref="M14:M20" si="14">J14*K14/Z$4*M$4</f>
        <v>0.30412800000000001</v>
      </c>
      <c r="N14" s="197">
        <f>KeyChips!T$12</f>
        <v>700</v>
      </c>
      <c r="O14" s="197">
        <f t="shared" si="8"/>
        <v>6.4930909090909088</v>
      </c>
      <c r="P14" s="197">
        <f t="shared" si="9"/>
        <v>32.465454545454541</v>
      </c>
      <c r="Q14" s="196" t="s">
        <v>45</v>
      </c>
      <c r="R14" s="729" t="s">
        <v>45</v>
      </c>
      <c r="S14" s="338" t="s">
        <v>45</v>
      </c>
      <c r="T14" s="196">
        <f>KeyChips!J$12</f>
        <v>80</v>
      </c>
      <c r="U14" s="196">
        <f t="shared" si="10"/>
        <v>368.64</v>
      </c>
      <c r="V14" s="196">
        <f t="shared" si="11"/>
        <v>9.1719745222929934</v>
      </c>
      <c r="W14" s="196">
        <f>(F14*Z$3)/W$8</f>
        <v>1413.8344186046511</v>
      </c>
      <c r="X14" s="343">
        <f>GlobalChipProd_TFLOPS_GB_RAM!Y11</f>
        <v>7975105156</v>
      </c>
      <c r="AA14" t="s">
        <v>303</v>
      </c>
    </row>
    <row r="15" spans="1:30" x14ac:dyDescent="0.35">
      <c r="B15" s="299">
        <v>2023</v>
      </c>
      <c r="C15" s="195" t="s">
        <v>627</v>
      </c>
      <c r="D15" s="338">
        <f t="shared" si="12"/>
        <v>1.1701388888888888</v>
      </c>
      <c r="E15" s="651">
        <f>$J15*KeyChips!U$12/Z$3</f>
        <v>0.67</v>
      </c>
      <c r="F15" s="197">
        <f>I15*J15/Z$3</f>
        <v>39.58</v>
      </c>
      <c r="G15" s="196" t="s">
        <v>45</v>
      </c>
      <c r="H15" s="338">
        <f t="shared" ref="H15:H17" si="15">(I15-I14)/I14</f>
        <v>0</v>
      </c>
      <c r="I15" s="196">
        <f>KeyChips!W$12</f>
        <v>3958</v>
      </c>
      <c r="J15" s="196">
        <f>AI_Supercomputers!I27</f>
        <v>10000</v>
      </c>
      <c r="K15" s="352">
        <f>KeyChips!P$12</f>
        <v>33000</v>
      </c>
      <c r="L15" s="339">
        <f t="shared" si="13"/>
        <v>1.1701388888888888</v>
      </c>
      <c r="M15" s="728">
        <f t="shared" si="14"/>
        <v>0.66</v>
      </c>
      <c r="N15" s="197">
        <f>KeyChips!T$12</f>
        <v>700</v>
      </c>
      <c r="O15" s="197">
        <f t="shared" si="8"/>
        <v>14.090909090909092</v>
      </c>
      <c r="P15" s="197">
        <f t="shared" si="9"/>
        <v>70.454545454545453</v>
      </c>
      <c r="Q15" s="407">
        <v>1.2</v>
      </c>
      <c r="R15" s="728">
        <f t="shared" ref="R15:R37" si="16">(P15/Z$2)*Q15</f>
        <v>8.4545454545454535E-2</v>
      </c>
      <c r="S15" s="338" t="s">
        <v>45</v>
      </c>
      <c r="T15" s="196">
        <f>KeyChips!J$12</f>
        <v>80</v>
      </c>
      <c r="U15" s="196">
        <f t="shared" si="10"/>
        <v>800</v>
      </c>
      <c r="V15" s="196">
        <f t="shared" si="11"/>
        <v>19.904458598726116</v>
      </c>
      <c r="W15" s="196">
        <f>(F15*Z$3)/W$8</f>
        <v>3068.2170542635658</v>
      </c>
      <c r="X15" s="343">
        <f>GlobalChipProd_TFLOPS_GB_RAM!Y12</f>
        <v>8041298528.7947998</v>
      </c>
      <c r="AA15" s="647">
        <v>1</v>
      </c>
    </row>
    <row r="16" spans="1:30" x14ac:dyDescent="0.35">
      <c r="B16" s="299">
        <v>2024</v>
      </c>
      <c r="C16" s="195" t="s">
        <v>1952</v>
      </c>
      <c r="D16" s="338">
        <f t="shared" si="12"/>
        <v>9</v>
      </c>
      <c r="E16" s="651">
        <f>$J16*KeyChips!U$12/Z$3</f>
        <v>6.7</v>
      </c>
      <c r="F16" s="197">
        <f>I16*J16/Z$3</f>
        <v>395.8</v>
      </c>
      <c r="G16" s="196" t="s">
        <v>45</v>
      </c>
      <c r="H16" s="338">
        <f t="shared" si="15"/>
        <v>0</v>
      </c>
      <c r="I16" s="196">
        <f>KeyChips!W$12</f>
        <v>3958</v>
      </c>
      <c r="J16" s="197">
        <f>AI_Supercomputers!I23</f>
        <v>100000</v>
      </c>
      <c r="K16" s="352">
        <f>KeyChips!P$12</f>
        <v>33000</v>
      </c>
      <c r="L16" s="339">
        <f t="shared" si="13"/>
        <v>8.9999999999999982</v>
      </c>
      <c r="M16" s="728">
        <f t="shared" si="14"/>
        <v>6.6</v>
      </c>
      <c r="N16" s="197">
        <f>KeyChips!T$12</f>
        <v>700</v>
      </c>
      <c r="O16" s="197">
        <f t="shared" si="8"/>
        <v>140.90909090909091</v>
      </c>
      <c r="P16" s="197">
        <f t="shared" si="9"/>
        <v>704.5454545454545</v>
      </c>
      <c r="Q16" s="407">
        <f>Q15*(1+Q$41)</f>
        <v>1.1159999999999999</v>
      </c>
      <c r="R16" s="728">
        <f t="shared" si="16"/>
        <v>0.78627272727272712</v>
      </c>
      <c r="S16" s="338" t="s">
        <v>45</v>
      </c>
      <c r="T16" s="196">
        <f>KeyChips!J$12</f>
        <v>80</v>
      </c>
      <c r="U16" s="196">
        <f t="shared" si="10"/>
        <v>8000</v>
      </c>
      <c r="V16" s="196">
        <f t="shared" si="11"/>
        <v>199.04458598726114</v>
      </c>
      <c r="W16" s="196">
        <f>(F16*Z$3)/W$8</f>
        <v>30682.17054263566</v>
      </c>
      <c r="X16" s="343">
        <f>GlobalChipProd_TFLOPS_GB_RAM!Y13</f>
        <v>8108041306.5837965</v>
      </c>
      <c r="AA16" s="647">
        <f t="shared" ref="AA16:AA25" si="17">AA15*(1+Q$39)</f>
        <v>0.87813051355294147</v>
      </c>
      <c r="AB16" t="s">
        <v>1960</v>
      </c>
      <c r="AC16" s="69">
        <f>(AA16-AA15)/AA15</f>
        <v>-0.12186948644705853</v>
      </c>
    </row>
    <row r="17" spans="2:29" x14ac:dyDescent="0.35">
      <c r="B17" s="299">
        <v>2025</v>
      </c>
      <c r="C17" s="195" t="s">
        <v>1953</v>
      </c>
      <c r="D17" s="338">
        <f t="shared" si="12"/>
        <v>2.5820895522388061</v>
      </c>
      <c r="E17" s="296">
        <f>$J17*KeyChips!U15/Z$3</f>
        <v>24</v>
      </c>
      <c r="F17" s="197">
        <f>$J17*KeyChips!W$15/Z$3</f>
        <v>2700</v>
      </c>
      <c r="G17" s="197">
        <f t="shared" ref="G17:G37" si="18">I17*J17/Z$3</f>
        <v>5400</v>
      </c>
      <c r="H17" s="338">
        <f t="shared" si="15"/>
        <v>3.5477513895907022</v>
      </c>
      <c r="I17" s="196">
        <f>KeyChips!X15</f>
        <v>18000</v>
      </c>
      <c r="J17" s="197">
        <f>AI_Supercomputers!I25</f>
        <v>300000</v>
      </c>
      <c r="K17" s="352">
        <f>KeyChips!P$12</f>
        <v>33000</v>
      </c>
      <c r="L17" s="339">
        <f t="shared" si="13"/>
        <v>2.0000000000000004</v>
      </c>
      <c r="M17" s="728">
        <f t="shared" si="14"/>
        <v>19.8</v>
      </c>
      <c r="N17" s="197">
        <f>KeyChips!T$12</f>
        <v>700</v>
      </c>
      <c r="O17" s="197">
        <f t="shared" si="8"/>
        <v>422.72727272727275</v>
      </c>
      <c r="P17" s="197">
        <f t="shared" si="9"/>
        <v>2113.636363636364</v>
      </c>
      <c r="Q17" s="407">
        <f t="shared" ref="Q17:Q36" si="19">Q16*(1+Q$41)</f>
        <v>1.0378799999999999</v>
      </c>
      <c r="R17" s="728">
        <f t="shared" si="16"/>
        <v>2.193700909090909</v>
      </c>
      <c r="S17" s="338" t="s">
        <v>45</v>
      </c>
      <c r="T17" s="196">
        <f>KeyChips!J$12</f>
        <v>80</v>
      </c>
      <c r="U17" s="196">
        <f t="shared" si="10"/>
        <v>24000</v>
      </c>
      <c r="V17" s="196">
        <f t="shared" si="11"/>
        <v>597.13375796178343</v>
      </c>
      <c r="W17" s="196">
        <f>(F17*Z$3)/W$8</f>
        <v>209302.32558139536</v>
      </c>
      <c r="X17" s="343">
        <f>GlobalChipProd_TFLOPS_GB_RAM!Y14</f>
        <v>8175338049.428442</v>
      </c>
      <c r="AA17" s="647">
        <f t="shared" si="17"/>
        <v>0.77111319883275276</v>
      </c>
      <c r="AB17" t="s">
        <v>1961</v>
      </c>
      <c r="AC17" s="69">
        <f t="shared" ref="AC17:AC25" si="20">(AA17-AA16)/AA16</f>
        <v>-0.1218694864470585</v>
      </c>
    </row>
    <row r="18" spans="2:29" x14ac:dyDescent="0.35">
      <c r="B18" s="299">
        <v>2026</v>
      </c>
      <c r="C18" s="195" t="s">
        <v>798</v>
      </c>
      <c r="D18" s="338">
        <f t="shared" si="12"/>
        <v>0.5</v>
      </c>
      <c r="E18" s="296">
        <f>$J18*KeyChips!U$17/Z$3</f>
        <v>36</v>
      </c>
      <c r="F18" s="197">
        <f>$J18*KeyChips!W$17/Z$3</f>
        <v>4000</v>
      </c>
      <c r="G18" s="197">
        <f t="shared" si="18"/>
        <v>8000</v>
      </c>
      <c r="H18" s="338">
        <f>(I18-I17)/I17</f>
        <v>1.2222222222222223</v>
      </c>
      <c r="I18" s="197">
        <f>KeyChips!X17</f>
        <v>40000</v>
      </c>
      <c r="J18" s="197">
        <f>AI_Supercomputers!I17</f>
        <v>200000</v>
      </c>
      <c r="K18" s="341">
        <f>KeyChips!P17</f>
        <v>65000</v>
      </c>
      <c r="L18" s="339">
        <f t="shared" si="13"/>
        <v>0.31313131313131309</v>
      </c>
      <c r="M18" s="728">
        <f t="shared" si="14"/>
        <v>26</v>
      </c>
      <c r="N18" s="197">
        <f>KeyChips!T17</f>
        <v>2700</v>
      </c>
      <c r="O18" s="197">
        <f t="shared" si="8"/>
        <v>1087.0129870129872</v>
      </c>
      <c r="P18" s="197">
        <f t="shared" si="9"/>
        <v>5435.0649350649364</v>
      </c>
      <c r="Q18" s="407">
        <f t="shared" si="19"/>
        <v>0.96522839999999988</v>
      </c>
      <c r="R18" s="728">
        <f t="shared" si="16"/>
        <v>5.2460790311688319</v>
      </c>
      <c r="S18" s="338" t="s">
        <v>45</v>
      </c>
      <c r="T18" s="197">
        <f>KeyChips!J17</f>
        <v>384</v>
      </c>
      <c r="U18" s="196">
        <f t="shared" si="10"/>
        <v>76800</v>
      </c>
      <c r="V18" s="196">
        <f t="shared" si="11"/>
        <v>1910.8280254777069</v>
      </c>
      <c r="W18" s="196">
        <f t="shared" ref="W18:W37" si="21">(G18*Z$3)/W$8</f>
        <v>620155.03875968989</v>
      </c>
      <c r="X18" s="343">
        <f>GlobalChipProd_TFLOPS_GB_RAM!Y15</f>
        <v>8243193355.238698</v>
      </c>
      <c r="AA18" s="647">
        <f t="shared" si="17"/>
        <v>0.67713802929845668</v>
      </c>
      <c r="AB18" t="s">
        <v>1962</v>
      </c>
      <c r="AC18" s="69">
        <f t="shared" si="20"/>
        <v>-0.12186948644705849</v>
      </c>
    </row>
    <row r="19" spans="2:29" x14ac:dyDescent="0.35">
      <c r="B19" s="149">
        <v>2027</v>
      </c>
      <c r="C19" s="8" t="s">
        <v>2002</v>
      </c>
      <c r="D19" s="250">
        <f t="shared" si="12"/>
        <v>1.0805735247710966</v>
      </c>
      <c r="E19" s="83">
        <f>$J19*KeyChips!U$17*Calc_Moores_Law!L16/Z$3</f>
        <v>74.900646891759479</v>
      </c>
      <c r="F19" s="2">
        <f>$J19*KeyChips!W$17*Calc_Moores_Law!L16/Z$3</f>
        <v>8322.2940990843872</v>
      </c>
      <c r="G19" s="2">
        <f t="shared" si="18"/>
        <v>16644.588198168774</v>
      </c>
      <c r="H19" s="56">
        <f>Calc_Moores_Law!D16</f>
        <v>0.38704901651406454</v>
      </c>
      <c r="I19" s="2">
        <f>I18*(1+H19)</f>
        <v>55481.960660562581</v>
      </c>
      <c r="J19" s="2">
        <v>300000</v>
      </c>
      <c r="K19" s="185">
        <f>GlobalChipProd_TFLOPS_GB_RAM!F16</f>
        <v>60000</v>
      </c>
      <c r="L19" s="56">
        <f t="shared" si="13"/>
        <v>0.38461538461538464</v>
      </c>
      <c r="M19" s="728">
        <f t="shared" si="14"/>
        <v>36</v>
      </c>
      <c r="N19" s="2">
        <f>GlobalChipProd_ElecUse!G17</f>
        <v>2957.5166187406958</v>
      </c>
      <c r="O19" s="2">
        <f t="shared" si="8"/>
        <v>1786.0327632654853</v>
      </c>
      <c r="P19" s="2">
        <f t="shared" si="9"/>
        <v>8930.1638163274256</v>
      </c>
      <c r="Q19" s="188">
        <f t="shared" si="19"/>
        <v>0.89766241199999985</v>
      </c>
      <c r="R19" s="728">
        <f t="shared" si="16"/>
        <v>8.0162723909195996</v>
      </c>
      <c r="S19" s="56">
        <f>Calc_Moores_Law!$Q21</f>
        <v>0.32630024571767025</v>
      </c>
      <c r="T19" s="2">
        <f>T18*(1+S19)</f>
        <v>509.2992943555854</v>
      </c>
      <c r="U19" s="2">
        <f t="shared" si="10"/>
        <v>152789.78830667562</v>
      </c>
      <c r="V19" s="172">
        <f t="shared" si="11"/>
        <v>3801.4975195729403</v>
      </c>
      <c r="W19" s="172">
        <f t="shared" si="21"/>
        <v>1290278.1548968041</v>
      </c>
      <c r="X19" s="171">
        <f>GlobalChipProd_TFLOPS_GB_RAM!Y16</f>
        <v>8311611860.0871792</v>
      </c>
      <c r="AA19" s="647">
        <f t="shared" si="17"/>
        <v>0.59461556541408045</v>
      </c>
      <c r="AB19" t="s">
        <v>1963</v>
      </c>
      <c r="AC19" s="69">
        <f t="shared" si="20"/>
        <v>-0.1218694864470586</v>
      </c>
    </row>
    <row r="20" spans="2:29" x14ac:dyDescent="0.35">
      <c r="B20" s="149">
        <v>2028</v>
      </c>
      <c r="C20" s="8" t="s">
        <v>2002</v>
      </c>
      <c r="D20" s="250">
        <f t="shared" si="12"/>
        <v>1.080573524771097</v>
      </c>
      <c r="E20" s="2">
        <f>$J20*KeyChips!U$17*Calc_Moores_Law!L17/Z$3</f>
        <v>155.83630291122333</v>
      </c>
      <c r="F20" s="2">
        <f>$J20*KeyChips!W$17*Calc_Moores_Law!L17/Z$3</f>
        <v>17315.144767913705</v>
      </c>
      <c r="G20" s="2">
        <f t="shared" si="18"/>
        <v>34630.289535827404</v>
      </c>
      <c r="H20" s="56">
        <f>Calc_Moores_Law!D17</f>
        <v>0.38704901651406454</v>
      </c>
      <c r="I20" s="2">
        <f t="shared" ref="I20:I37" si="22">I19*(1+H20)</f>
        <v>76956.198968505341</v>
      </c>
      <c r="J20" s="2">
        <v>450000</v>
      </c>
      <c r="K20" s="185">
        <f>GlobalChipProd_TFLOPS_GB_RAM!F17</f>
        <v>57000</v>
      </c>
      <c r="L20" s="56">
        <f t="shared" si="13"/>
        <v>0.42499999999999993</v>
      </c>
      <c r="M20" s="728">
        <f t="shared" si="14"/>
        <v>51.3</v>
      </c>
      <c r="N20" s="2">
        <f>GlobalChipProd_ElecUse!G18</f>
        <v>3095.3439089452709</v>
      </c>
      <c r="O20" s="2">
        <f t="shared" si="8"/>
        <v>2803.8991902458783</v>
      </c>
      <c r="P20" s="2">
        <f t="shared" si="9"/>
        <v>14019.495951229392</v>
      </c>
      <c r="Q20" s="188">
        <f t="shared" si="19"/>
        <v>0.83482604315999975</v>
      </c>
      <c r="R20" s="728">
        <f t="shared" si="16"/>
        <v>11.70384033206247</v>
      </c>
      <c r="S20" s="56">
        <f>Calc_Moores_Law!$Q22</f>
        <v>0.32630024571767025</v>
      </c>
      <c r="T20" s="2">
        <f t="shared" ref="T20:T36" si="23">T19*(1+S20)</f>
        <v>675.48377924764895</v>
      </c>
      <c r="U20" s="2">
        <f t="shared" si="10"/>
        <v>303967.70066144207</v>
      </c>
      <c r="V20" s="172">
        <f t="shared" si="11"/>
        <v>7562.8906414570574</v>
      </c>
      <c r="W20" s="172">
        <f t="shared" si="21"/>
        <v>2684518.5686687906</v>
      </c>
      <c r="X20" s="171">
        <f>GlobalChipProd_TFLOPS_GB_RAM!Y17</f>
        <v>8380598238.5259027</v>
      </c>
      <c r="AA20" s="647">
        <f t="shared" si="17"/>
        <v>0.52215007182363915</v>
      </c>
      <c r="AB20" t="s">
        <v>1964</v>
      </c>
      <c r="AC20" s="69">
        <f t="shared" si="20"/>
        <v>-0.12186948644705849</v>
      </c>
    </row>
    <row r="21" spans="2:29" x14ac:dyDescent="0.35">
      <c r="B21" s="517">
        <v>2029</v>
      </c>
      <c r="C21" s="103" t="s">
        <v>2949</v>
      </c>
      <c r="D21" s="518">
        <f t="shared" ref="D21:D35" si="24">(E21-E20)/E20</f>
        <v>0.58123587882603367</v>
      </c>
      <c r="E21" s="91">
        <f>$J21*KeyChips!U$17*Calc_Moores_Law!L18/Z$3</f>
        <v>246.41395338682821</v>
      </c>
      <c r="F21" s="91">
        <f>$J21*KeyChips!W$17*Calc_Moores_Law!L18/Z$3</f>
        <v>27379.328154092022</v>
      </c>
      <c r="G21" s="91">
        <f t="shared" si="18"/>
        <v>54758.656308184036</v>
      </c>
      <c r="H21" s="519">
        <f>Calc_Moores_Law!D18</f>
        <v>0.38704901651406454</v>
      </c>
      <c r="I21" s="91">
        <f t="shared" si="22"/>
        <v>106742.020093926</v>
      </c>
      <c r="J21" s="91">
        <f>((M21/M$4)*Z$4)/K21</f>
        <v>513000</v>
      </c>
      <c r="K21" s="520">
        <f>GlobalChipProd_TFLOPS_GB_RAM!F18</f>
        <v>55000</v>
      </c>
      <c r="L21" s="519">
        <v>0.1</v>
      </c>
      <c r="M21" s="648">
        <f t="shared" ref="M21:M37" si="25">M20*(1+L21)</f>
        <v>56.43</v>
      </c>
      <c r="N21" s="91">
        <f>GlobalChipProd_ElecUse!G19</f>
        <v>3239.5942778249623</v>
      </c>
      <c r="O21" s="91">
        <f t="shared" si="8"/>
        <v>3345.4070000162583</v>
      </c>
      <c r="P21" s="91">
        <f t="shared" si="9"/>
        <v>16727.03500008129</v>
      </c>
      <c r="Q21" s="650">
        <f t="shared" si="19"/>
        <v>0.77638822013879971</v>
      </c>
      <c r="R21" s="648">
        <f t="shared" si="16"/>
        <v>12.986672931912521</v>
      </c>
      <c r="S21" s="519">
        <f>Calc_Moores_Law!$Q23</f>
        <v>0.32630024571767025</v>
      </c>
      <c r="T21" s="91">
        <f t="shared" si="23"/>
        <v>895.89430239445733</v>
      </c>
      <c r="U21" s="91">
        <f>T21*J21/Z$2</f>
        <v>459593.77712835663</v>
      </c>
      <c r="V21" s="230">
        <f t="shared" si="11"/>
        <v>11434.956636354415</v>
      </c>
      <c r="W21" s="230">
        <f t="shared" si="21"/>
        <v>4244857.0781538012</v>
      </c>
      <c r="X21" s="521">
        <f>GlobalChipProd_TFLOPS_GB_RAM!Y18</f>
        <v>8450157203.9056673</v>
      </c>
      <c r="AA21" s="647">
        <f t="shared" si="17"/>
        <v>0.4585159107221975</v>
      </c>
      <c r="AB21" t="s">
        <v>1965</v>
      </c>
      <c r="AC21" s="69">
        <f t="shared" si="20"/>
        <v>-0.12186948644705858</v>
      </c>
    </row>
    <row r="22" spans="2:29" x14ac:dyDescent="0.35">
      <c r="B22" s="149">
        <v>2030</v>
      </c>
      <c r="D22" s="250">
        <f t="shared" si="24"/>
        <v>0.61377818267501727</v>
      </c>
      <c r="E22" s="2">
        <f>$J22*KeyChips!U$17*Calc_Moores_Law!L19/Z$3</f>
        <v>397.65746188236204</v>
      </c>
      <c r="F22" s="2">
        <f>$J22*KeyChips!W$17*Calc_Moores_Law!L19/Z$3</f>
        <v>44184.162431373567</v>
      </c>
      <c r="G22" s="2">
        <f t="shared" si="18"/>
        <v>88368.324862747104</v>
      </c>
      <c r="H22" s="56">
        <f>Calc_Moores_Law!D19</f>
        <v>0.38704901651406454</v>
      </c>
      <c r="I22" s="2">
        <f t="shared" si="22"/>
        <v>148056.41399200456</v>
      </c>
      <c r="J22" s="2">
        <f t="shared" ref="J22:J37" si="26">((M22/M$4)*Z$4)/K22</f>
        <v>596855.76923076925</v>
      </c>
      <c r="K22" s="185">
        <f>GlobalChipProd_TFLOPS_GB_RAM!F19</f>
        <v>52000</v>
      </c>
      <c r="L22" s="250">
        <f>L21</f>
        <v>0.1</v>
      </c>
      <c r="M22" s="728">
        <f t="shared" si="25"/>
        <v>62.073000000000008</v>
      </c>
      <c r="N22" s="2">
        <f>GlobalChipProd_ElecUse!G20</f>
        <v>3390.5670560827502</v>
      </c>
      <c r="O22" s="2">
        <f t="shared" si="8"/>
        <v>4073.6405688305208</v>
      </c>
      <c r="P22" s="2">
        <f t="shared" si="9"/>
        <v>20368.202844152605</v>
      </c>
      <c r="Q22" s="188">
        <f t="shared" si="19"/>
        <v>0.7220410447290837</v>
      </c>
      <c r="R22" s="728">
        <f t="shared" si="16"/>
        <v>14.706678460845842</v>
      </c>
      <c r="S22" s="56">
        <f>Calc_Moores_Law!$Q24</f>
        <v>0.32630024571767025</v>
      </c>
      <c r="T22" s="2">
        <f t="shared" si="23"/>
        <v>1188.2248334028295</v>
      </c>
      <c r="U22" s="2">
        <f t="shared" si="10"/>
        <v>709198.84695974854</v>
      </c>
      <c r="V22" s="172">
        <f t="shared" si="11"/>
        <v>17645.273859468267</v>
      </c>
      <c r="W22" s="172">
        <f t="shared" si="21"/>
        <v>6850257.7412982248</v>
      </c>
      <c r="X22" s="171">
        <f>GlobalChipProd_TFLOPS_GB_RAM!Y19</f>
        <v>8520293508.6980839</v>
      </c>
      <c r="AA22" s="647">
        <f t="shared" si="17"/>
        <v>0.40263681215467795</v>
      </c>
      <c r="AB22" t="s">
        <v>1966</v>
      </c>
      <c r="AC22" s="69">
        <f t="shared" si="20"/>
        <v>-0.12186948644705853</v>
      </c>
    </row>
    <row r="23" spans="2:29" x14ac:dyDescent="0.35">
      <c r="B23" s="149">
        <v>2031</v>
      </c>
      <c r="D23" s="250">
        <f t="shared" si="24"/>
        <v>0.58678407489208972</v>
      </c>
      <c r="E23" s="2">
        <f>$J23*KeyChips!U$17*Calc_Moores_Law!L20/Z$3</f>
        <v>630.9965277769403</v>
      </c>
      <c r="F23" s="2">
        <f>$J23*KeyChips!W$17*Calc_Moores_Law!L20/Z$3</f>
        <v>70110.725308548936</v>
      </c>
      <c r="G23" s="2">
        <f t="shared" si="18"/>
        <v>140221.45061709784</v>
      </c>
      <c r="H23" s="56">
        <f>Calc_Moores_Law!D20</f>
        <v>0.38704901651406454</v>
      </c>
      <c r="I23" s="2">
        <f t="shared" si="22"/>
        <v>205361.5034162091</v>
      </c>
      <c r="J23" s="2">
        <f t="shared" si="26"/>
        <v>682803.00000000012</v>
      </c>
      <c r="K23" s="185">
        <f>GlobalChipProd_TFLOPS_GB_RAM!F20</f>
        <v>50000</v>
      </c>
      <c r="L23" s="250">
        <f t="shared" ref="L23:L37" si="27">L22</f>
        <v>0.1</v>
      </c>
      <c r="M23" s="728">
        <f t="shared" si="25"/>
        <v>68.280300000000011</v>
      </c>
      <c r="N23" s="2">
        <f>GlobalChipProd_ElecUse!G21</f>
        <v>3548.5755239424402</v>
      </c>
      <c r="O23" s="2">
        <f t="shared" si="8"/>
        <v>4877.4232738771807</v>
      </c>
      <c r="P23" s="2">
        <f t="shared" si="9"/>
        <v>24387.116369385905</v>
      </c>
      <c r="Q23" s="188">
        <f t="shared" si="19"/>
        <v>0.67149817159804781</v>
      </c>
      <c r="R23" s="728">
        <f t="shared" si="16"/>
        <v>16.375904052591455</v>
      </c>
      <c r="S23" s="56">
        <f>Calc_Moores_Law!$Q25</f>
        <v>0.32630024571767025</v>
      </c>
      <c r="T23" s="2">
        <f t="shared" si="23"/>
        <v>1575.9428885100106</v>
      </c>
      <c r="U23" s="2">
        <f t="shared" si="10"/>
        <v>1076058.5321033008</v>
      </c>
      <c r="V23" s="172">
        <f t="shared" si="11"/>
        <v>26772.953127570181</v>
      </c>
      <c r="W23" s="172">
        <f t="shared" si="21"/>
        <v>10869879.892798282</v>
      </c>
      <c r="X23" s="171">
        <f>GlobalChipProd_TFLOPS_GB_RAM!Y20</f>
        <v>8591011944.8202782</v>
      </c>
      <c r="AA23" s="647">
        <f t="shared" si="17"/>
        <v>0.35356767063270655</v>
      </c>
      <c r="AB23" t="s">
        <v>1967</v>
      </c>
      <c r="AC23" s="69">
        <f t="shared" si="20"/>
        <v>-0.12186948644705857</v>
      </c>
    </row>
    <row r="24" spans="2:29" x14ac:dyDescent="0.35">
      <c r="B24" s="149">
        <v>2032</v>
      </c>
      <c r="D24" s="250">
        <f>(E24-E23)/E23</f>
        <v>0.69528213129496841</v>
      </c>
      <c r="E24" s="2">
        <f>$J24*KeyChips!U$17*Calc_Moores_Law!L21/Z$3</f>
        <v>1069.7171384494161</v>
      </c>
      <c r="F24" s="2">
        <f>$J24*KeyChips!W$17*Calc_Moores_Law!L21/Z$3</f>
        <v>118857.45982771293</v>
      </c>
      <c r="G24" s="2">
        <f t="shared" si="18"/>
        <v>237714.91965542577</v>
      </c>
      <c r="H24" s="56">
        <f>Calc_Moores_Law!D21</f>
        <v>0.38704901651406454</v>
      </c>
      <c r="I24" s="2">
        <f t="shared" si="22"/>
        <v>284846.47134330252</v>
      </c>
      <c r="J24" s="2">
        <f t="shared" si="26"/>
        <v>834537.00000000035</v>
      </c>
      <c r="K24" s="185">
        <f>GlobalChipProd_TFLOPS_GB_RAM!F21</f>
        <v>45000</v>
      </c>
      <c r="L24" s="250">
        <f t="shared" si="27"/>
        <v>0.1</v>
      </c>
      <c r="M24" s="728">
        <f t="shared" si="25"/>
        <v>75.108330000000024</v>
      </c>
      <c r="N24" s="2">
        <f>GlobalChipProd_ElecUse!G22</f>
        <v>3713.9475612294259</v>
      </c>
      <c r="O24" s="2">
        <f t="shared" si="8"/>
        <v>6239.1056060439869</v>
      </c>
      <c r="P24" s="2">
        <f t="shared" si="9"/>
        <v>31195.528030219935</v>
      </c>
      <c r="Q24" s="188">
        <f t="shared" si="19"/>
        <v>0.62449329958618438</v>
      </c>
      <c r="R24" s="728">
        <f t="shared" si="16"/>
        <v>19.48139823192535</v>
      </c>
      <c r="S24" s="56">
        <f>Calc_Moores_Law!$Q26</f>
        <v>0.32630024571767025</v>
      </c>
      <c r="T24" s="2">
        <f t="shared" si="23"/>
        <v>2090.1734402678421</v>
      </c>
      <c r="U24" s="2">
        <f t="shared" si="10"/>
        <v>1744327.0723208049</v>
      </c>
      <c r="V24" s="172">
        <f t="shared" si="11"/>
        <v>43399.857492058247</v>
      </c>
      <c r="W24" s="172">
        <f t="shared" si="21"/>
        <v>18427513.151583392</v>
      </c>
      <c r="X24" s="171">
        <f>GlobalChipProd_TFLOPS_GB_RAM!Y21</f>
        <v>8662317343.962286</v>
      </c>
      <c r="AA24" s="647">
        <f t="shared" si="17"/>
        <v>0.31047856018841585</v>
      </c>
      <c r="AB24" t="s">
        <v>1968</v>
      </c>
      <c r="AC24" s="69">
        <f t="shared" si="20"/>
        <v>-0.12186948644705857</v>
      </c>
    </row>
    <row r="25" spans="2:29" x14ac:dyDescent="0.35">
      <c r="B25" s="149">
        <v>2033</v>
      </c>
      <c r="D25" s="250">
        <f>(E25-E24)/E24</f>
        <v>0.42312499999999964</v>
      </c>
      <c r="E25" s="2">
        <f>$J25*KeyChips!U$17*Calc_Moores_Law!L22/Z$3</f>
        <v>1522.3412026558249</v>
      </c>
      <c r="F25" s="2">
        <f>$J25*KeyChips!W$17*Calc_Moores_Law!L22/Z$3</f>
        <v>169149.02251731389</v>
      </c>
      <c r="G25" s="2">
        <f t="shared" si="18"/>
        <v>338298.04503462772</v>
      </c>
      <c r="H25" s="56">
        <f>Calc_Moores_Law!D22</f>
        <v>0.15</v>
      </c>
      <c r="I25" s="2">
        <f t="shared" si="22"/>
        <v>327573.44204479788</v>
      </c>
      <c r="J25" s="2">
        <f t="shared" si="26"/>
        <v>1032739.5375000003</v>
      </c>
      <c r="K25" s="185">
        <f>GlobalChipProd_TFLOPS_GB_RAM!F22</f>
        <v>40000</v>
      </c>
      <c r="L25" s="250">
        <f t="shared" si="27"/>
        <v>0.1</v>
      </c>
      <c r="M25" s="728">
        <f t="shared" si="25"/>
        <v>82.619163000000029</v>
      </c>
      <c r="N25" s="2">
        <f>GlobalChipProd_ElecUse!G23</f>
        <v>3887.0263277467552</v>
      </c>
      <c r="O25" s="2">
        <f t="shared" si="8"/>
        <v>8080.7051253891414</v>
      </c>
      <c r="P25" s="2">
        <f t="shared" si="9"/>
        <v>40403.52562694571</v>
      </c>
      <c r="Q25" s="188">
        <f t="shared" si="19"/>
        <v>0.58077876861515143</v>
      </c>
      <c r="R25" s="728">
        <f t="shared" si="16"/>
        <v>23.465509861328243</v>
      </c>
      <c r="S25" s="56">
        <f>Calc_Moores_Law!$Q27</f>
        <v>0.32630024571767025</v>
      </c>
      <c r="T25" s="2">
        <f t="shared" si="23"/>
        <v>2772.197547419787</v>
      </c>
      <c r="U25" s="2">
        <f t="shared" si="10"/>
        <v>2862958.0129809459</v>
      </c>
      <c r="V25" s="172">
        <f t="shared" si="11"/>
        <v>71232.036549088021</v>
      </c>
      <c r="W25" s="172">
        <f t="shared" si="21"/>
        <v>26224654.653847113</v>
      </c>
      <c r="X25" s="171">
        <f>GlobalChipProd_TFLOPS_GB_RAM!Y22</f>
        <v>8734214577.9171734</v>
      </c>
      <c r="Z25" t="s">
        <v>1970</v>
      </c>
      <c r="AA25" s="647">
        <f t="shared" si="17"/>
        <v>0.27264069750543146</v>
      </c>
      <c r="AB25" t="s">
        <v>1969</v>
      </c>
      <c r="AC25" s="69">
        <f t="shared" si="20"/>
        <v>-0.12186948644705853</v>
      </c>
    </row>
    <row r="26" spans="2:29" x14ac:dyDescent="0.35">
      <c r="B26" s="149">
        <v>2034</v>
      </c>
      <c r="D26" s="250">
        <f>(E26-E25)/E25</f>
        <v>0.44571428571428579</v>
      </c>
      <c r="E26" s="2">
        <f>$J26*KeyChips!U$17*Calc_Moores_Law!L23/Z$3</f>
        <v>2200.8704244109927</v>
      </c>
      <c r="F26" s="2">
        <f>$J26*KeyChips!W$17*Calc_Moores_Law!L23/Z$3</f>
        <v>244541.15826788807</v>
      </c>
      <c r="G26" s="2">
        <f t="shared" si="18"/>
        <v>489082.31653577607</v>
      </c>
      <c r="H26" s="56">
        <f>Calc_Moores_Law!D23</f>
        <v>0.15</v>
      </c>
      <c r="I26" s="2">
        <f t="shared" si="22"/>
        <v>376709.4583515175</v>
      </c>
      <c r="J26" s="2">
        <f t="shared" si="26"/>
        <v>1298301.1328571434</v>
      </c>
      <c r="K26" s="185">
        <f>GlobalChipProd_TFLOPS_GB_RAM!F23</f>
        <v>35000</v>
      </c>
      <c r="L26" s="250">
        <f t="shared" si="27"/>
        <v>0.1</v>
      </c>
      <c r="M26" s="728">
        <f t="shared" si="25"/>
        <v>90.881079300000039</v>
      </c>
      <c r="N26" s="2">
        <f>GlobalChipProd_ElecUse!G24</f>
        <v>4068.1709753583355</v>
      </c>
      <c r="O26" s="2">
        <f t="shared" si="8"/>
        <v>10632.015621096922</v>
      </c>
      <c r="P26" s="2">
        <f t="shared" si="9"/>
        <v>53160.078105484608</v>
      </c>
      <c r="Q26" s="188">
        <f t="shared" si="19"/>
        <v>0.54012425481209081</v>
      </c>
      <c r="R26" s="728">
        <f t="shared" si="16"/>
        <v>28.713047572477418</v>
      </c>
      <c r="S26" s="56">
        <f>Calc_Moores_Law!$Q28</f>
        <v>0.32630024571767025</v>
      </c>
      <c r="T26" s="2">
        <f t="shared" si="23"/>
        <v>3676.7662883207863</v>
      </c>
      <c r="U26" s="2">
        <f t="shared" si="10"/>
        <v>4773549.8373778313</v>
      </c>
      <c r="V26" s="172">
        <f t="shared" si="11"/>
        <v>118768.65638380352</v>
      </c>
      <c r="W26" s="172">
        <f t="shared" si="21"/>
        <v>37913357.870990396</v>
      </c>
      <c r="X26" s="171">
        <f>GlobalChipProd_TFLOPS_GB_RAM!Y23</f>
        <v>8806708558.9138851</v>
      </c>
    </row>
    <row r="27" spans="2:29" x14ac:dyDescent="0.35">
      <c r="B27" s="517">
        <v>2035</v>
      </c>
      <c r="C27" s="103" t="s">
        <v>2955</v>
      </c>
      <c r="D27" s="518">
        <f t="shared" si="24"/>
        <v>0.47583333333333322</v>
      </c>
      <c r="E27" s="91">
        <f>$J27*KeyChips!U$17*Calc_Moores_Law!L24/Z$3</f>
        <v>3248.1179346932231</v>
      </c>
      <c r="F27" s="91">
        <f>$J27*KeyChips!W$17*Calc_Moores_Law!L24/Z$3</f>
        <v>360901.99274369143</v>
      </c>
      <c r="G27" s="91">
        <f t="shared" si="18"/>
        <v>721803.98548738274</v>
      </c>
      <c r="H27" s="519">
        <f>Calc_Moores_Law!D24</f>
        <v>0.15</v>
      </c>
      <c r="I27" s="91">
        <f t="shared" si="22"/>
        <v>433215.87710424507</v>
      </c>
      <c r="J27" s="91">
        <f t="shared" si="26"/>
        <v>1666153.1205000007</v>
      </c>
      <c r="K27" s="520">
        <f>GlobalChipProd_TFLOPS_GB_RAM!F24</f>
        <v>30000</v>
      </c>
      <c r="L27" s="518">
        <f t="shared" si="27"/>
        <v>0.1</v>
      </c>
      <c r="M27" s="648">
        <f t="shared" si="25"/>
        <v>99.969187230000045</v>
      </c>
      <c r="N27" s="91">
        <f>GlobalChipProd_ElecUse!G25</f>
        <v>4257.7573932569067</v>
      </c>
      <c r="O27" s="91">
        <f t="shared" si="8"/>
        <v>14280.28238833216</v>
      </c>
      <c r="P27" s="91">
        <f t="shared" si="9"/>
        <v>71401.411941660801</v>
      </c>
      <c r="Q27" s="650">
        <f t="shared" si="19"/>
        <v>0.50231555697524444</v>
      </c>
      <c r="R27" s="648">
        <f t="shared" si="16"/>
        <v>35.866040008294213</v>
      </c>
      <c r="S27" s="519">
        <f>Calc_Moores_Law!$Q29</f>
        <v>0.32630024571767025</v>
      </c>
      <c r="T27" s="91">
        <f t="shared" si="23"/>
        <v>4876.4960316463057</v>
      </c>
      <c r="U27" s="91">
        <f t="shared" si="10"/>
        <v>8124989.0802333625</v>
      </c>
      <c r="V27" s="230">
        <f t="shared" si="11"/>
        <v>202154.38595325843</v>
      </c>
      <c r="W27" s="230">
        <f t="shared" si="21"/>
        <v>55953797.324603312</v>
      </c>
      <c r="X27" s="521">
        <f>GlobalChipProd_TFLOPS_GB_RAM!Y24</f>
        <v>8879804239.9528694</v>
      </c>
      <c r="AA27" s="69">
        <f>((AA22/AA19)^(1/(COUNT(AA20:AA22)))-1)</f>
        <v>-0.12186948644705853</v>
      </c>
      <c r="AB27" t="s">
        <v>303</v>
      </c>
    </row>
    <row r="28" spans="2:29" x14ac:dyDescent="0.35">
      <c r="B28" s="149">
        <v>2036</v>
      </c>
      <c r="D28" s="250">
        <f t="shared" si="24"/>
        <v>0.51799999999999979</v>
      </c>
      <c r="E28" s="2">
        <f>$J28*KeyChips!U$17*Calc_Moores_Law!L25/Z$3</f>
        <v>4930.6430248643119</v>
      </c>
      <c r="F28" s="2">
        <f>$J28*KeyChips!W$17*Calc_Moores_Law!L25/Z$3</f>
        <v>547849.22498492361</v>
      </c>
      <c r="G28" s="2">
        <f t="shared" si="18"/>
        <v>1095698.449969847</v>
      </c>
      <c r="H28" s="56">
        <f>Calc_Moores_Law!D25</f>
        <v>0.15</v>
      </c>
      <c r="I28" s="2">
        <f t="shared" si="22"/>
        <v>498198.25866988179</v>
      </c>
      <c r="J28" s="2">
        <f t="shared" si="26"/>
        <v>2199322.1190600009</v>
      </c>
      <c r="K28" s="185">
        <f>GlobalChipProd_TFLOPS_GB_RAM!F25</f>
        <v>25000</v>
      </c>
      <c r="L28" s="250">
        <f t="shared" si="27"/>
        <v>0.1</v>
      </c>
      <c r="M28" s="728">
        <f t="shared" si="25"/>
        <v>109.96610595300005</v>
      </c>
      <c r="N28" s="2">
        <f>GlobalChipProd_ElecUse!G26</f>
        <v>4456.1789879632679</v>
      </c>
      <c r="O28" s="2">
        <f t="shared" si="8"/>
        <v>19728.426198458361</v>
      </c>
      <c r="P28" s="2">
        <f t="shared" si="9"/>
        <v>98642.130992291801</v>
      </c>
      <c r="Q28" s="188">
        <f t="shared" si="19"/>
        <v>0.46715346798697732</v>
      </c>
      <c r="R28" s="728">
        <f t="shared" si="16"/>
        <v>46.081013582674807</v>
      </c>
      <c r="S28" s="56">
        <f>Calc_Moores_Law!$Q30</f>
        <v>0.2</v>
      </c>
      <c r="T28" s="2">
        <f t="shared" si="23"/>
        <v>5851.795237975567</v>
      </c>
      <c r="U28" s="2">
        <f t="shared" si="10"/>
        <v>12869982.703089645</v>
      </c>
      <c r="V28" s="172">
        <f t="shared" si="11"/>
        <v>320212.5473499613</v>
      </c>
      <c r="W28" s="172">
        <f t="shared" si="21"/>
        <v>84937864.338747829</v>
      </c>
      <c r="X28" s="171">
        <f>GlobalChipProd_TFLOPS_GB_RAM!Y25</f>
        <v>8953506615.1444778</v>
      </c>
    </row>
    <row r="29" spans="2:29" x14ac:dyDescent="0.35">
      <c r="B29" s="149">
        <v>2037</v>
      </c>
      <c r="D29" s="250">
        <f t="shared" si="24"/>
        <v>0.58125000000000016</v>
      </c>
      <c r="E29" s="2">
        <f>$J29*KeyChips!U$17*Calc_Moores_Law!L26/Z$3</f>
        <v>7796.5792830666942</v>
      </c>
      <c r="F29" s="2">
        <f>$J29*KeyChips!W$17*Calc_Moores_Law!L26/Z$3</f>
        <v>866286.58700741036</v>
      </c>
      <c r="G29" s="2">
        <f t="shared" si="18"/>
        <v>1732573.1740148203</v>
      </c>
      <c r="H29" s="56">
        <f>Calc_Moores_Law!D26</f>
        <v>0.15</v>
      </c>
      <c r="I29" s="2">
        <f t="shared" si="22"/>
        <v>572927.99747036397</v>
      </c>
      <c r="J29" s="2">
        <f t="shared" si="26"/>
        <v>3024067.9137075017</v>
      </c>
      <c r="K29" s="185">
        <f>GlobalChipProd_TFLOPS_GB_RAM!F26</f>
        <v>20000</v>
      </c>
      <c r="L29" s="250">
        <f t="shared" si="27"/>
        <v>0.1</v>
      </c>
      <c r="M29" s="728">
        <f t="shared" si="25"/>
        <v>120.96271654830007</v>
      </c>
      <c r="N29" s="2">
        <f>GlobalChipProd_ElecUse!G27</f>
        <v>4663.8474996753203</v>
      </c>
      <c r="O29" s="2">
        <f t="shared" si="8"/>
        <v>28390.749280778309</v>
      </c>
      <c r="P29" s="2">
        <f t="shared" si="9"/>
        <v>141953.74640389154</v>
      </c>
      <c r="Q29" s="188">
        <f t="shared" si="19"/>
        <v>0.43445272522788886</v>
      </c>
      <c r="R29" s="728">
        <f t="shared" si="16"/>
        <v>61.672191981479301</v>
      </c>
      <c r="S29" s="56">
        <f>Calc_Moores_Law!$Q31</f>
        <v>0.2</v>
      </c>
      <c r="T29" s="2">
        <f t="shared" si="23"/>
        <v>7022.1542855706803</v>
      </c>
      <c r="U29" s="2">
        <f t="shared" si="10"/>
        <v>21235471.46009792</v>
      </c>
      <c r="V29" s="172">
        <f t="shared" si="11"/>
        <v>528350.70312743634</v>
      </c>
      <c r="W29" s="172">
        <f t="shared" si="21"/>
        <v>134307997.985645</v>
      </c>
      <c r="X29" s="171">
        <f>GlobalChipProd_TFLOPS_GB_RAM!Y26</f>
        <v>9027820720.0501766</v>
      </c>
    </row>
    <row r="30" spans="2:29" x14ac:dyDescent="0.35">
      <c r="B30" s="149">
        <v>2038</v>
      </c>
      <c r="D30" s="250">
        <f t="shared" si="24"/>
        <v>0.35442659929591547</v>
      </c>
      <c r="E30" s="2">
        <f>$J30*KeyChips!U$17*Calc_Moores_Law!L27/Z$3</f>
        <v>10559.894364505009</v>
      </c>
      <c r="F30" s="2">
        <f>$J30*KeyChips!W$17*Calc_Moores_Law!L27/Z$3</f>
        <v>1173321.5960561121</v>
      </c>
      <c r="G30" s="2">
        <f t="shared" si="18"/>
        <v>2346643.1921122237</v>
      </c>
      <c r="H30" s="56">
        <f>Calc_Moores_Law!D27</f>
        <v>4.6602372183207397E-2</v>
      </c>
      <c r="I30" s="2">
        <f t="shared" si="22"/>
        <v>599627.80124265759</v>
      </c>
      <c r="J30" s="2">
        <f t="shared" si="26"/>
        <v>3913499.6530332374</v>
      </c>
      <c r="K30" s="185">
        <f>GlobalChipProd_TFLOPS_GB_RAM!F27</f>
        <v>17000</v>
      </c>
      <c r="L30" s="250">
        <f t="shared" si="27"/>
        <v>0.1</v>
      </c>
      <c r="M30" s="728">
        <f t="shared" si="25"/>
        <v>133.05898820313007</v>
      </c>
      <c r="N30" s="2">
        <f>GlobalChipProd_ElecUse!G28</f>
        <v>4881.1938566609106</v>
      </c>
      <c r="O30" s="2">
        <f t="shared" si="8"/>
        <v>38453.185999827518</v>
      </c>
      <c r="P30" s="2">
        <f t="shared" si="9"/>
        <v>192265.92999913759</v>
      </c>
      <c r="Q30" s="188">
        <f t="shared" si="19"/>
        <v>0.40404103446193662</v>
      </c>
      <c r="R30" s="728">
        <f t="shared" si="16"/>
        <v>77.683325248637843</v>
      </c>
      <c r="S30" s="56">
        <f>Calc_Moores_Law!$Q32</f>
        <v>0.2</v>
      </c>
      <c r="T30" s="2">
        <f t="shared" si="23"/>
        <v>8426.5851426848167</v>
      </c>
      <c r="U30" s="2">
        <f t="shared" si="10"/>
        <v>32977438.032152064</v>
      </c>
      <c r="V30" s="172">
        <f t="shared" si="11"/>
        <v>820497.56250378338</v>
      </c>
      <c r="W30" s="172">
        <f t="shared" si="21"/>
        <v>181910324.96993983</v>
      </c>
      <c r="X30" s="171">
        <f>GlobalChipProd_TFLOPS_GB_RAM!Y27</f>
        <v>9102751632.0265923</v>
      </c>
    </row>
    <row r="31" spans="2:29" x14ac:dyDescent="0.35">
      <c r="B31" s="149">
        <v>2039</v>
      </c>
      <c r="D31" s="250">
        <f>(E31-E30)/E30</f>
        <v>0.22321652248912358</v>
      </c>
      <c r="E31" s="2">
        <f>$J31*KeyChips!U$17*Calc_Moores_Law!L28/Z$3</f>
        <v>12917.037262402311</v>
      </c>
      <c r="F31" s="2">
        <f>$J31*KeyChips!W$17*Calc_Moores_Law!L28/Z$3</f>
        <v>1435226.3624891455</v>
      </c>
      <c r="G31" s="2">
        <f t="shared" si="18"/>
        <v>2870452.7249782905</v>
      </c>
      <c r="H31" s="56">
        <f>Calc_Moores_Law!D28</f>
        <v>4.6602372183207397E-2</v>
      </c>
      <c r="I31" s="2">
        <f t="shared" si="22"/>
        <v>627571.87920756626</v>
      </c>
      <c r="J31" s="2">
        <f t="shared" si="26"/>
        <v>4573902.719482596</v>
      </c>
      <c r="K31" s="185">
        <f>GlobalChipProd_TFLOPS_GB_RAM!F28</f>
        <v>16000</v>
      </c>
      <c r="L31" s="250">
        <f t="shared" si="27"/>
        <v>0.1</v>
      </c>
      <c r="M31" s="728">
        <f t="shared" si="25"/>
        <v>146.36488702344309</v>
      </c>
      <c r="N31" s="2">
        <f>GlobalChipProd_ElecUse!G29</f>
        <v>5108.669069467408</v>
      </c>
      <c r="O31" s="2">
        <f t="shared" si="8"/>
        <v>47036.572457336471</v>
      </c>
      <c r="P31" s="2">
        <f t="shared" si="9"/>
        <v>235182.86228668236</v>
      </c>
      <c r="Q31" s="188">
        <f t="shared" si="19"/>
        <v>0.37575816204960105</v>
      </c>
      <c r="R31" s="728">
        <f t="shared" si="16"/>
        <v>88.371880078408196</v>
      </c>
      <c r="S31" s="56">
        <f>Calc_Moores_Law!$Q33</f>
        <v>0.2</v>
      </c>
      <c r="T31" s="2">
        <f t="shared" si="23"/>
        <v>10111.90217122178</v>
      </c>
      <c r="U31" s="2">
        <f t="shared" si="10"/>
        <v>46250856.84009327</v>
      </c>
      <c r="V31" s="172">
        <f t="shared" si="11"/>
        <v>1150747.8314115563</v>
      </c>
      <c r="W31" s="172">
        <f t="shared" si="21"/>
        <v>222515715.11459616</v>
      </c>
      <c r="X31" s="171">
        <f>GlobalChipProd_TFLOPS_GB_RAM!Y28</f>
        <v>9178304470.5724125</v>
      </c>
    </row>
    <row r="32" spans="2:29" x14ac:dyDescent="0.35">
      <c r="B32" s="149">
        <v>2040</v>
      </c>
      <c r="D32" s="250">
        <f t="shared" si="24"/>
        <v>0.22801345002829657</v>
      </c>
      <c r="E32" s="2">
        <f>$J32*KeyChips!U$17*Calc_Moores_Law!L29/Z$3</f>
        <v>15862.295492746725</v>
      </c>
      <c r="F32" s="2">
        <f>$J32*KeyChips!W$17*Calc_Moores_Law!L29/Z$3</f>
        <v>1762477.2769718582</v>
      </c>
      <c r="G32" s="2">
        <f t="shared" si="18"/>
        <v>3524954.553943716</v>
      </c>
      <c r="H32" s="56">
        <f>Calc_Moores_Law!D29</f>
        <v>4.6602372183207397E-2</v>
      </c>
      <c r="I32" s="2">
        <f>I31*(1+H32)</f>
        <v>656818.21749411209</v>
      </c>
      <c r="J32" s="2">
        <f t="shared" si="26"/>
        <v>5366712.5241929125</v>
      </c>
      <c r="K32" s="185">
        <f>GlobalChipProd_TFLOPS_GB_RAM!F29</f>
        <v>15000</v>
      </c>
      <c r="L32" s="250">
        <f t="shared" si="27"/>
        <v>0.1</v>
      </c>
      <c r="M32" s="728">
        <f>M31*(1+L32)</f>
        <v>161.0013757257874</v>
      </c>
      <c r="N32" s="2">
        <f>GlobalChipProd_ElecUse!G30</f>
        <v>5346.7451668035683</v>
      </c>
      <c r="O32" s="2">
        <f t="shared" si="8"/>
        <v>57761.543620839722</v>
      </c>
      <c r="P32" s="2">
        <f t="shared" si="9"/>
        <v>288807.71810419863</v>
      </c>
      <c r="Q32" s="188">
        <f t="shared" si="19"/>
        <v>0.34945509070612896</v>
      </c>
      <c r="R32" s="728">
        <f>(P32/Z$2)*Q32</f>
        <v>100.92532732673286</v>
      </c>
      <c r="S32" s="56">
        <f>Calc_Moores_Law!$Q34</f>
        <v>0.1</v>
      </c>
      <c r="T32" s="2">
        <f t="shared" si="23"/>
        <v>11123.092388343959</v>
      </c>
      <c r="U32" s="2">
        <f t="shared" si="10"/>
        <v>59694439.22828038</v>
      </c>
      <c r="V32" s="172">
        <f t="shared" si="11"/>
        <v>1485231.8677418486</v>
      </c>
      <c r="W32" s="172">
        <f t="shared" si="21"/>
        <v>273252291.00338882</v>
      </c>
      <c r="X32" s="171">
        <f>GlobalChipProd_TFLOPS_GB_RAM!Y29</f>
        <v>9254484397.6781635</v>
      </c>
    </row>
    <row r="33" spans="2:48" x14ac:dyDescent="0.35">
      <c r="B33" s="149">
        <v>2041</v>
      </c>
      <c r="D33" s="250">
        <f t="shared" si="24"/>
        <v>0.23349565293020888</v>
      </c>
      <c r="E33" s="2">
        <f>$J33*KeyChips!U$17*Calc_Moores_Law!L30/Z$3</f>
        <v>19566.072535797532</v>
      </c>
      <c r="F33" s="2">
        <f>$J33*KeyChips!W$17*Calc_Moores_Law!L30/Z$3</f>
        <v>2174008.0595330591</v>
      </c>
      <c r="G33" s="2">
        <f t="shared" si="18"/>
        <v>4348016.1190661173</v>
      </c>
      <c r="H33" s="56">
        <f>Calc_Moores_Law!D30</f>
        <v>4.6602372183207397E-2</v>
      </c>
      <c r="I33" s="2">
        <f t="shared" si="22"/>
        <v>687427.50452248356</v>
      </c>
      <c r="J33" s="2">
        <f t="shared" si="26"/>
        <v>6325054.0463702194</v>
      </c>
      <c r="K33" s="185">
        <f>GlobalChipProd_TFLOPS_GB_RAM!F30</f>
        <v>14000</v>
      </c>
      <c r="L33" s="250">
        <f t="shared" si="27"/>
        <v>0.1</v>
      </c>
      <c r="M33" s="728">
        <f t="shared" si="25"/>
        <v>177.10151329836614</v>
      </c>
      <c r="N33" s="2">
        <f>GlobalChipProd_ElecUse!G31</f>
        <v>5595.9161750357134</v>
      </c>
      <c r="O33" s="2">
        <f t="shared" si="8"/>
        <v>71248.612962844418</v>
      </c>
      <c r="P33" s="2">
        <f t="shared" si="9"/>
        <v>356243.0648142221</v>
      </c>
      <c r="Q33" s="188">
        <f t="shared" si="19"/>
        <v>0.32499323435669991</v>
      </c>
      <c r="R33" s="728">
        <f t="shared" si="16"/>
        <v>115.77658585111753</v>
      </c>
      <c r="S33" s="56">
        <f>Calc_Moores_Law!$Q35</f>
        <v>0.1</v>
      </c>
      <c r="T33" s="2">
        <f t="shared" si="23"/>
        <v>12235.401627178357</v>
      </c>
      <c r="U33" s="2">
        <f t="shared" si="10"/>
        <v>77389576.570949227</v>
      </c>
      <c r="V33" s="172">
        <f t="shared" si="11"/>
        <v>1925497.0285367542</v>
      </c>
      <c r="W33" s="172">
        <f t="shared" si="21"/>
        <v>337055513.10590059</v>
      </c>
      <c r="X33" s="171">
        <f>GlobalChipProd_TFLOPS_GB_RAM!Y30</f>
        <v>9331296618.1788921</v>
      </c>
    </row>
    <row r="34" spans="2:48" x14ac:dyDescent="0.35">
      <c r="B34" s="149">
        <v>2042</v>
      </c>
      <c r="D34" s="250">
        <f t="shared" si="24"/>
        <v>0.23982127166318443</v>
      </c>
      <c r="E34" s="2">
        <f>$J34*KeyChips!U$17*Calc_Moores_Law!L31/Z$3</f>
        <v>24258.432932786603</v>
      </c>
      <c r="F34" s="2">
        <f>$J34*KeyChips!W$17*Calc_Moores_Law!L31/Z$3</f>
        <v>2695381.4369762889</v>
      </c>
      <c r="G34" s="2">
        <f t="shared" si="18"/>
        <v>5390762.873952576</v>
      </c>
      <c r="H34" s="56">
        <f>Calc_Moores_Law!D31</f>
        <v>4.6602372183207397E-2</v>
      </c>
      <c r="I34" s="2">
        <f t="shared" si="22"/>
        <v>719463.25693721382</v>
      </c>
      <c r="J34" s="2">
        <f t="shared" si="26"/>
        <v>7492756.3318539532</v>
      </c>
      <c r="K34" s="185">
        <f>GlobalChipProd_TFLOPS_GB_RAM!F31</f>
        <v>13000</v>
      </c>
      <c r="L34" s="250">
        <f t="shared" si="27"/>
        <v>0.1</v>
      </c>
      <c r="M34" s="728">
        <f t="shared" si="25"/>
        <v>194.81166462820278</v>
      </c>
      <c r="N34" s="2">
        <f>GlobalChipProd_ElecUse!G32</f>
        <v>5856.6991433307585</v>
      </c>
      <c r="O34" s="2">
        <f t="shared" si="8"/>
        <v>88335.545927831816</v>
      </c>
      <c r="P34" s="2">
        <f t="shared" si="9"/>
        <v>441677.72963915905</v>
      </c>
      <c r="Q34" s="188">
        <f t="shared" si="19"/>
        <v>0.30224370795173089</v>
      </c>
      <c r="R34" s="728">
        <f t="shared" si="16"/>
        <v>133.49431472584155</v>
      </c>
      <c r="S34" s="56">
        <f>Calc_Moores_Law!$Q36</f>
        <v>0.1</v>
      </c>
      <c r="T34" s="2">
        <f t="shared" si="23"/>
        <v>13458.941789896193</v>
      </c>
      <c r="U34" s="2">
        <f t="shared" si="10"/>
        <v>100844571.31629847</v>
      </c>
      <c r="V34" s="172">
        <f t="shared" si="11"/>
        <v>2509070.7433394324</v>
      </c>
      <c r="W34" s="172">
        <f t="shared" si="21"/>
        <v>417888594.88004464</v>
      </c>
      <c r="X34" s="171">
        <f>GlobalChipProd_TFLOPS_GB_RAM!Y31</f>
        <v>9408746380.1097775</v>
      </c>
    </row>
    <row r="35" spans="2:48" x14ac:dyDescent="0.35">
      <c r="B35" s="149">
        <v>2043</v>
      </c>
      <c r="D35" s="250">
        <f t="shared" si="24"/>
        <v>0.24720116018498869</v>
      </c>
      <c r="E35" s="2">
        <f>$J35*KeyChips!U$17*Calc_Moores_Law!L32/Z$3</f>
        <v>30255.145698041189</v>
      </c>
      <c r="F35" s="2">
        <f>$J35*KeyChips!W$17*Calc_Moores_Law!L32/Z$3</f>
        <v>3361682.8553379104</v>
      </c>
      <c r="G35" s="2">
        <f t="shared" si="18"/>
        <v>6723365.7106758179</v>
      </c>
      <c r="H35" s="56">
        <f>Calc_Moores_Law!D32</f>
        <v>4.6602372183207397E-2</v>
      </c>
      <c r="I35" s="2">
        <f t="shared" si="22"/>
        <v>752991.95140914444</v>
      </c>
      <c r="J35" s="2">
        <f t="shared" si="26"/>
        <v>8928867.9621259607</v>
      </c>
      <c r="K35" s="185">
        <f>GlobalChipProd_TFLOPS_GB_RAM!F32</f>
        <v>12000</v>
      </c>
      <c r="L35" s="250">
        <f t="shared" si="27"/>
        <v>0.1</v>
      </c>
      <c r="M35" s="728">
        <f t="shared" si="25"/>
        <v>214.29283109102306</v>
      </c>
      <c r="N35" s="2">
        <f>GlobalChipProd_ElecUse!G33</f>
        <v>6129.6352165733306</v>
      </c>
      <c r="O35" s="2">
        <f t="shared" si="8"/>
        <v>110172.19536676623</v>
      </c>
      <c r="P35" s="2">
        <f t="shared" si="9"/>
        <v>550860.97683383117</v>
      </c>
      <c r="Q35" s="188">
        <f t="shared" si="19"/>
        <v>0.28108664839510972</v>
      </c>
      <c r="R35" s="728">
        <f t="shared" si="16"/>
        <v>154.83966570987778</v>
      </c>
      <c r="S35" s="56">
        <f>Calc_Moores_Law!$Q37</f>
        <v>0.1</v>
      </c>
      <c r="T35" s="2">
        <f t="shared" si="23"/>
        <v>14804.835968885813</v>
      </c>
      <c r="U35" s="2">
        <f t="shared" si="10"/>
        <v>132190425.56711459</v>
      </c>
      <c r="V35" s="172">
        <f t="shared" si="11"/>
        <v>3288973.5660607731</v>
      </c>
      <c r="W35" s="172">
        <f t="shared" si="21"/>
        <v>521191140.36246651</v>
      </c>
      <c r="X35" s="171">
        <f>GlobalChipProd_TFLOPS_GB_RAM!Y32</f>
        <v>9486838975.0646877</v>
      </c>
    </row>
    <row r="36" spans="2:48" x14ac:dyDescent="0.35">
      <c r="B36" s="149">
        <v>2044</v>
      </c>
      <c r="D36" s="250">
        <f>(E36-E35)/E35</f>
        <v>0.25592284661984904</v>
      </c>
      <c r="E36" s="2">
        <f>$J36*KeyChips!U$17*Calc_Moores_Law!L33/Z$3</f>
        <v>37998.128709982171</v>
      </c>
      <c r="F36" s="2">
        <f>$J36*KeyChips!W$17*Calc_Moores_Law!L33/Z$3</f>
        <v>4222014.3011091305</v>
      </c>
      <c r="G36" s="2">
        <f t="shared" si="18"/>
        <v>8444028.6022182573</v>
      </c>
      <c r="H36" s="56">
        <f>Calc_Moores_Law!D33</f>
        <v>4.6602372183207397E-2</v>
      </c>
      <c r="I36" s="2">
        <f t="shared" si="22"/>
        <v>788083.16257967299</v>
      </c>
      <c r="J36" s="2">
        <f t="shared" si="26"/>
        <v>10714641.554551154</v>
      </c>
      <c r="K36" s="185">
        <f>GlobalChipProd_TFLOPS_GB_RAM!F33</f>
        <v>11000</v>
      </c>
      <c r="L36" s="250">
        <f t="shared" si="27"/>
        <v>0.1</v>
      </c>
      <c r="M36" s="728">
        <f t="shared" si="25"/>
        <v>235.72211420012539</v>
      </c>
      <c r="N36" s="2">
        <f>GlobalChipProd_ElecUse!G34</f>
        <v>6415.2907582833759</v>
      </c>
      <c r="O36" s="2">
        <f t="shared" si="8"/>
        <v>138367.77722338718</v>
      </c>
      <c r="P36" s="2">
        <f t="shared" si="9"/>
        <v>691838.88611693587</v>
      </c>
      <c r="Q36" s="188">
        <f t="shared" si="19"/>
        <v>0.26141058300745201</v>
      </c>
      <c r="R36" s="728">
        <f t="shared" si="16"/>
        <v>180.8540065670544</v>
      </c>
      <c r="S36" s="56">
        <f>Calc_Moores_Law!$Q38</f>
        <v>0.1</v>
      </c>
      <c r="T36" s="2">
        <f t="shared" si="23"/>
        <v>16285.319565774395</v>
      </c>
      <c r="U36" s="2">
        <f t="shared" si="10"/>
        <v>174491361.74859127</v>
      </c>
      <c r="V36" s="172">
        <f t="shared" si="11"/>
        <v>4341445.1072002212</v>
      </c>
      <c r="W36" s="172">
        <f t="shared" si="21"/>
        <v>654575860.63707423</v>
      </c>
      <c r="X36" s="171">
        <f>GlobalChipProd_TFLOPS_GB_RAM!Y33</f>
        <v>9565579738.557724</v>
      </c>
    </row>
    <row r="37" spans="2:48" ht="15" thickBot="1" x14ac:dyDescent="0.4">
      <c r="B37" s="300">
        <v>2045</v>
      </c>
      <c r="C37" s="301" t="s">
        <v>2958</v>
      </c>
      <c r="D37" s="380">
        <f>(E37-E36)/E36</f>
        <v>0.26638887034168107</v>
      </c>
      <c r="E37" s="134">
        <f>$J37*KeyChips!U$17*Calc_Moores_Law!L34/Z$3</f>
        <v>48120.40729213212</v>
      </c>
      <c r="F37" s="134">
        <f>$J37*KeyChips!W$17*Calc_Moores_Law!L34/Z$3</f>
        <v>5346711.921348013</v>
      </c>
      <c r="G37" s="134">
        <f t="shared" si="18"/>
        <v>10693423.842696022</v>
      </c>
      <c r="H37" s="163">
        <f>Calc_Moores_Law!D34</f>
        <v>4.6602372183207397E-2</v>
      </c>
      <c r="I37" s="134">
        <f t="shared" si="22"/>
        <v>824809.70743353001</v>
      </c>
      <c r="J37" s="134">
        <f t="shared" si="26"/>
        <v>12964716.281006897</v>
      </c>
      <c r="K37" s="186">
        <f>GlobalChipProd_TFLOPS_GB_RAM!F34</f>
        <v>10000</v>
      </c>
      <c r="L37" s="380">
        <f t="shared" si="27"/>
        <v>0.1</v>
      </c>
      <c r="M37" s="649">
        <f t="shared" si="25"/>
        <v>259.29432562013795</v>
      </c>
      <c r="N37" s="134">
        <f>GlobalChipProd_ElecUse!G35</f>
        <v>6714.2585258643885</v>
      </c>
      <c r="O37" s="134">
        <f t="shared" si="8"/>
        <v>175227.41308961465</v>
      </c>
      <c r="P37" s="134">
        <f t="shared" si="9"/>
        <v>876137.0654480732</v>
      </c>
      <c r="Q37" s="189">
        <f>Q36*(1+Q$41)</f>
        <v>0.24311184219693036</v>
      </c>
      <c r="R37" s="649">
        <f t="shared" si="16"/>
        <v>212.99929599809363</v>
      </c>
      <c r="S37" s="163">
        <f>Calc_Moores_Law!$Q39</f>
        <v>0.1</v>
      </c>
      <c r="T37" s="134">
        <f>T36*(1+S37)</f>
        <v>17913.851522351837</v>
      </c>
      <c r="U37" s="134">
        <f t="shared" si="10"/>
        <v>232248002.48737505</v>
      </c>
      <c r="V37" s="134">
        <f t="shared" si="11"/>
        <v>5778463.4376834957</v>
      </c>
      <c r="W37" s="135">
        <f t="shared" si="21"/>
        <v>828947584.70511794</v>
      </c>
      <c r="X37" s="136">
        <f>GlobalChipProd_TFLOPS_GB_RAM!Y34</f>
        <v>9644974050.3877525</v>
      </c>
    </row>
    <row r="38" spans="2:48" ht="15" thickTop="1" x14ac:dyDescent="0.35">
      <c r="B38" s="44"/>
      <c r="P38" s="2">
        <v>1161430</v>
      </c>
      <c r="Q38" t="s">
        <v>1999</v>
      </c>
      <c r="S38" t="s">
        <v>45</v>
      </c>
      <c r="U38" s="69"/>
      <c r="V38" s="69"/>
      <c r="W38" s="172">
        <f>7*22*52</f>
        <v>8008</v>
      </c>
      <c r="X38" s="172">
        <f>38*(52-6)</f>
        <v>1748</v>
      </c>
    </row>
    <row r="39" spans="2:48" x14ac:dyDescent="0.35">
      <c r="I39" s="34">
        <f>I34*(1+D34)</f>
        <v>892005.85013083287</v>
      </c>
      <c r="Q39" s="69">
        <f>(1.2/6.5)^(1/(2023-2010))-1</f>
        <v>-0.12186948644705853</v>
      </c>
      <c r="R39" t="s">
        <v>1972</v>
      </c>
      <c r="S39" t="s">
        <v>45</v>
      </c>
      <c r="W39" t="s">
        <v>1957</v>
      </c>
      <c r="X39" t="s">
        <v>1958</v>
      </c>
    </row>
    <row r="40" spans="2:48" x14ac:dyDescent="0.35">
      <c r="I40" t="s">
        <v>303</v>
      </c>
      <c r="Q40" t="s">
        <v>105</v>
      </c>
      <c r="R40" s="14" t="s">
        <v>1975</v>
      </c>
      <c r="S40" t="s">
        <v>45</v>
      </c>
      <c r="W40" s="69">
        <f>((W21/W16)^(1/($B21-$B16)))-1</f>
        <v>1.680374012315283</v>
      </c>
      <c r="X40" s="6">
        <f>W38/X38</f>
        <v>4.5812356979405031</v>
      </c>
    </row>
    <row r="41" spans="2:48" x14ac:dyDescent="0.35">
      <c r="Q41" s="4">
        <v>-7.0000000000000007E-2</v>
      </c>
      <c r="R41" t="s">
        <v>1973</v>
      </c>
      <c r="W41" t="s">
        <v>303</v>
      </c>
    </row>
    <row r="42" spans="2:48" x14ac:dyDescent="0.35">
      <c r="R42" t="s">
        <v>2241</v>
      </c>
    </row>
    <row r="43" spans="2:48" x14ac:dyDescent="0.35">
      <c r="R43" s="14" t="s">
        <v>2240</v>
      </c>
      <c r="S43" t="s">
        <v>45</v>
      </c>
    </row>
    <row r="45" spans="2:48" ht="24" thickBot="1" x14ac:dyDescent="0.6">
      <c r="B45" s="30" t="s">
        <v>855</v>
      </c>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D45" s="11"/>
    </row>
    <row r="46" spans="2:48" ht="15" thickTop="1" x14ac:dyDescent="0.35">
      <c r="B46" s="76" t="s">
        <v>7</v>
      </c>
      <c r="C46" s="19" t="s">
        <v>263</v>
      </c>
      <c r="D46" s="77" t="s">
        <v>233</v>
      </c>
      <c r="E46" s="77" t="str">
        <f t="shared" ref="E46:I47" si="28">E6</f>
        <v>exa-FLOPS</v>
      </c>
      <c r="F46" s="77" t="str">
        <f t="shared" si="28"/>
        <v>exa-FLOPS</v>
      </c>
      <c r="G46" s="77" t="str">
        <f t="shared" si="28"/>
        <v>exa-FLOPS</v>
      </c>
      <c r="H46" s="77" t="str">
        <f t="shared" ref="H46" si="29">H6</f>
        <v>Moore's law</v>
      </c>
      <c r="I46" s="77" t="str">
        <f t="shared" si="28"/>
        <v>Best TFLOPS</v>
      </c>
      <c r="J46" s="77" t="str">
        <f t="shared" ref="J46:M46" si="30">J6</f>
        <v xml:space="preserve">Number of </v>
      </c>
      <c r="K46" s="77" t="str">
        <f t="shared" si="30"/>
        <v>Price USD</v>
      </c>
      <c r="L46" s="77" t="str">
        <f>L6</f>
        <v>Growth</v>
      </c>
      <c r="M46" s="77" t="str">
        <f t="shared" si="30"/>
        <v>Price of</v>
      </c>
      <c r="N46" s="77" t="str">
        <f t="shared" ref="N46" si="31">N6</f>
        <v>Watt use</v>
      </c>
      <c r="O46" s="77" t="str">
        <f t="shared" ref="O46" si="32">O6</f>
        <v xml:space="preserve">Million </v>
      </c>
      <c r="P46" s="77" t="str">
        <f t="shared" ref="P46" si="33">P6</f>
        <v>Solar power</v>
      </c>
      <c r="Q46" s="77" t="str">
        <f t="shared" ref="Q46:R46" si="34">Q6</f>
        <v xml:space="preserve">Cost of </v>
      </c>
      <c r="R46" s="77" t="str">
        <f t="shared" si="34"/>
        <v>Capital cost</v>
      </c>
      <c r="S46" s="77" t="str">
        <f t="shared" ref="S46:T46" si="35">S6</f>
        <v>Moore's Law</v>
      </c>
      <c r="T46" s="77" t="str">
        <f t="shared" si="35"/>
        <v>GB HBM</v>
      </c>
      <c r="U46" s="77" t="str">
        <f t="shared" ref="U46:X46" si="36">U6</f>
        <v>TB RAM</v>
      </c>
      <c r="V46" s="77" t="str">
        <f t="shared" si="36"/>
        <v># of AGI brains if</v>
      </c>
      <c r="W46" s="77" t="str">
        <f t="shared" si="36"/>
        <v># of AGI brains if</v>
      </c>
      <c r="X46" s="78" t="str">
        <f t="shared" si="36"/>
        <v># of humans on</v>
      </c>
      <c r="AD46" s="82"/>
      <c r="AE46" s="8"/>
      <c r="AF46" s="8"/>
      <c r="AG46" s="8"/>
      <c r="AH46" s="8"/>
      <c r="AI46" s="36"/>
      <c r="AJ46" s="36"/>
      <c r="AK46" s="8"/>
      <c r="AL46" s="8"/>
      <c r="AM46" s="8"/>
      <c r="AN46" s="8"/>
      <c r="AO46" s="8"/>
      <c r="AP46" s="8"/>
      <c r="AQ46" s="8"/>
      <c r="AR46" s="8"/>
      <c r="AS46" s="8"/>
      <c r="AT46" s="8"/>
      <c r="AU46" s="8"/>
      <c r="AV46" s="8"/>
    </row>
    <row r="47" spans="2:48" x14ac:dyDescent="0.35">
      <c r="B47" s="21">
        <v>1993</v>
      </c>
      <c r="C47" s="13" t="str">
        <f>C7</f>
        <v>Fujitsu</v>
      </c>
      <c r="D47" s="256" t="s">
        <v>232</v>
      </c>
      <c r="E47" s="120" t="str">
        <f t="shared" si="28"/>
        <v>FP32</v>
      </c>
      <c r="F47" s="120" t="str">
        <f t="shared" si="28"/>
        <v>FP8</v>
      </c>
      <c r="G47" s="120" t="str">
        <f t="shared" si="28"/>
        <v>FP4</v>
      </c>
      <c r="H47" s="120" t="str">
        <f t="shared" ref="H47" si="37">H7</f>
        <v>multiplicator</v>
      </c>
      <c r="I47" s="120" t="str">
        <f t="shared" si="28"/>
        <v>per chipset &amp;</v>
      </c>
      <c r="J47" s="120" t="str">
        <f t="shared" ref="J47:M47" si="38">J7</f>
        <v>AI chipsets</v>
      </c>
      <c r="K47" s="120" t="str">
        <f t="shared" si="38"/>
        <v xml:space="preserve">for one </v>
      </c>
      <c r="L47" s="120" t="str">
        <f>L7</f>
        <v>in price</v>
      </c>
      <c r="M47" s="120" t="str">
        <f t="shared" si="38"/>
        <v>one SC in</v>
      </c>
      <c r="N47" s="120" t="str">
        <f t="shared" ref="N47" si="39">N7</f>
        <v>one AI</v>
      </c>
      <c r="O47" s="120" t="str">
        <f t="shared" ref="O47" si="40">O7</f>
        <v>watt used</v>
      </c>
      <c r="P47" s="120" t="str">
        <f t="shared" ref="P47" si="41">P7</f>
        <v>capacity MW</v>
      </c>
      <c r="Q47" s="120" t="str">
        <f t="shared" ref="Q47:R47" si="42">Q7</f>
        <v>solar power</v>
      </c>
      <c r="R47" s="120" t="str">
        <f t="shared" si="42"/>
        <v>solar p. 1SC</v>
      </c>
      <c r="S47" s="120" t="str">
        <f t="shared" ref="S47:T47" si="43">S7</f>
        <v>multiplicator</v>
      </c>
      <c r="T47" s="120" t="str">
        <f t="shared" si="43"/>
        <v>for 1 AI</v>
      </c>
      <c r="U47" s="120" t="str">
        <f t="shared" ref="U47:X47" si="44">U7</f>
        <v xml:space="preserve"> used</v>
      </c>
      <c r="V47" s="120" t="str">
        <f t="shared" si="44"/>
        <v>1 brain is GB RAM</v>
      </c>
      <c r="W47" s="120" t="str">
        <f t="shared" si="44"/>
        <v>1 brain is TFLOPS</v>
      </c>
      <c r="X47" s="334" t="str">
        <f t="shared" si="44"/>
        <v>Earth. Annual</v>
      </c>
      <c r="AD47" s="8"/>
      <c r="AE47" s="8"/>
      <c r="AF47" s="8"/>
      <c r="AG47" s="8"/>
      <c r="AH47" s="8"/>
      <c r="AI47" s="253"/>
      <c r="AJ47" s="253"/>
      <c r="AK47" s="148"/>
      <c r="AL47" s="148"/>
      <c r="AM47" s="148"/>
      <c r="AN47" s="148"/>
      <c r="AO47" s="148"/>
      <c r="AP47" s="148"/>
      <c r="AQ47" s="148"/>
      <c r="AR47" s="148"/>
      <c r="AS47" s="118"/>
      <c r="AT47" s="118"/>
      <c r="AU47" s="118"/>
      <c r="AV47" s="118"/>
    </row>
    <row r="48" spans="2:48" ht="15" thickBot="1" x14ac:dyDescent="0.4">
      <c r="B48" s="21">
        <v>2024</v>
      </c>
      <c r="C48" s="13" t="str">
        <f>C56</f>
        <v>xAI, H100 Colossus 1st version</v>
      </c>
      <c r="D48" s="72" t="s">
        <v>225</v>
      </c>
      <c r="E48" s="144"/>
      <c r="F48" s="81"/>
      <c r="G48" s="81"/>
      <c r="H48" s="120" t="str">
        <f>H8</f>
        <v>for compute</v>
      </c>
      <c r="I48" s="120" t="str">
        <f>I8</f>
        <v>Moore's law</v>
      </c>
      <c r="J48" s="120" t="str">
        <f t="shared" ref="J48:M48" si="45">J8</f>
        <v>in one SC</v>
      </c>
      <c r="K48" s="120" t="str">
        <f t="shared" si="45"/>
        <v>AI chipset</v>
      </c>
      <c r="L48" s="120" t="str">
        <f>L8</f>
        <v>of 1 SC</v>
      </c>
      <c r="M48" s="120" t="str">
        <f t="shared" si="45"/>
        <v>billion USD</v>
      </c>
      <c r="N48" s="120" t="str">
        <f t="shared" ref="N48" si="46">N8</f>
        <v>chipset</v>
      </c>
      <c r="O48" s="120" t="str">
        <f t="shared" ref="O48" si="47">O8</f>
        <v>in one SC</v>
      </c>
      <c r="P48" s="120" t="str">
        <f t="shared" ref="P48" si="48">P8</f>
        <v>need, CF20%</v>
      </c>
      <c r="Q48" s="120" t="str">
        <f t="shared" ref="Q48:R48" si="49">Q8</f>
        <v>B.USD/GW</v>
      </c>
      <c r="R48" s="120" t="str">
        <f t="shared" si="49"/>
        <v>billion USD</v>
      </c>
      <c r="S48" s="120" t="str">
        <f t="shared" ref="S48:T48" si="50">S8</f>
        <v>for RAM mem.</v>
      </c>
      <c r="T48" s="120" t="str">
        <f t="shared" si="50"/>
        <v>chipset</v>
      </c>
      <c r="U48" s="120"/>
      <c r="V48" s="144" t="s">
        <v>225</v>
      </c>
      <c r="W48" s="125" t="s">
        <v>225</v>
      </c>
      <c r="X48" s="964" t="str">
        <f>X8</f>
        <v>growth is 0.83%</v>
      </c>
      <c r="AD48" s="8"/>
      <c r="AE48" s="8"/>
      <c r="AF48" s="46"/>
      <c r="AG48" s="46"/>
      <c r="AH48" s="46"/>
      <c r="AI48" s="36"/>
      <c r="AJ48" s="36"/>
      <c r="AL48" s="253"/>
      <c r="AM48" s="253"/>
      <c r="AN48" s="253"/>
      <c r="AO48" s="36"/>
      <c r="AP48" s="36"/>
      <c r="AQ48" s="36"/>
      <c r="AR48" s="36"/>
      <c r="AS48" s="254"/>
      <c r="AT48" s="46"/>
      <c r="AU48" s="235"/>
      <c r="AV48" s="235"/>
    </row>
    <row r="49" spans="2:48" ht="15" thickTop="1" x14ac:dyDescent="0.35">
      <c r="B49" s="306" t="str">
        <f t="shared" ref="B49:B51" si="51">B9</f>
        <v>Growth 1993 to 2023</v>
      </c>
      <c r="C49" s="311"/>
      <c r="D49" s="316" t="s">
        <v>135</v>
      </c>
      <c r="E49" s="318" t="s">
        <v>45</v>
      </c>
      <c r="F49" s="318" t="s">
        <v>45</v>
      </c>
      <c r="G49" s="318" t="s">
        <v>45</v>
      </c>
      <c r="H49" s="652" t="s">
        <v>225</v>
      </c>
      <c r="I49" s="318" t="s">
        <v>45</v>
      </c>
      <c r="J49" s="318" t="s">
        <v>45</v>
      </c>
      <c r="K49" s="318" t="s">
        <v>45</v>
      </c>
      <c r="L49" s="318" t="s">
        <v>45</v>
      </c>
      <c r="M49" s="318" t="s">
        <v>45</v>
      </c>
      <c r="N49" s="318" t="s">
        <v>45</v>
      </c>
      <c r="O49" s="318" t="s">
        <v>45</v>
      </c>
      <c r="P49" s="318" t="s">
        <v>45</v>
      </c>
      <c r="Q49" s="318" t="s">
        <v>45</v>
      </c>
      <c r="R49" s="318" t="s">
        <v>45</v>
      </c>
      <c r="S49" s="364" t="s">
        <v>45</v>
      </c>
      <c r="T49" s="318" t="s">
        <v>45</v>
      </c>
      <c r="U49" s="318" t="s">
        <v>45</v>
      </c>
      <c r="V49" s="318" t="s">
        <v>45</v>
      </c>
      <c r="W49" s="318" t="s">
        <v>45</v>
      </c>
      <c r="X49" s="966" t="s">
        <v>45</v>
      </c>
      <c r="AD49" s="8"/>
      <c r="AE49" s="8"/>
      <c r="AF49" s="46"/>
      <c r="AG49" s="46"/>
      <c r="AH49" s="46"/>
      <c r="AI49" s="36"/>
      <c r="AJ49" s="36"/>
      <c r="AL49" s="253"/>
      <c r="AM49" s="253"/>
      <c r="AN49" s="253"/>
      <c r="AO49" s="36"/>
      <c r="AP49" s="36"/>
      <c r="AQ49" s="36"/>
      <c r="AR49" s="36"/>
      <c r="AS49" s="254"/>
      <c r="AT49" s="46"/>
      <c r="AU49" s="235"/>
      <c r="AV49" s="235"/>
    </row>
    <row r="50" spans="2:48" x14ac:dyDescent="0.35">
      <c r="B50" s="302" t="str">
        <f t="shared" si="51"/>
        <v>Growth 2023 to 2029</v>
      </c>
      <c r="C50" s="314"/>
      <c r="D50" s="108" t="s">
        <v>135</v>
      </c>
      <c r="E50" s="108" t="s">
        <v>135</v>
      </c>
      <c r="F50" s="108" t="s">
        <v>135</v>
      </c>
      <c r="G50" s="108" t="s">
        <v>45</v>
      </c>
      <c r="H50" s="409" t="s">
        <v>135</v>
      </c>
      <c r="I50" s="108" t="s">
        <v>135</v>
      </c>
      <c r="J50" s="108" t="s">
        <v>135</v>
      </c>
      <c r="K50" s="108" t="s">
        <v>135</v>
      </c>
      <c r="L50" s="108" t="s">
        <v>135</v>
      </c>
      <c r="M50" s="108" t="s">
        <v>135</v>
      </c>
      <c r="N50" s="108" t="s">
        <v>135</v>
      </c>
      <c r="O50" s="108" t="s">
        <v>135</v>
      </c>
      <c r="P50" s="108" t="s">
        <v>135</v>
      </c>
      <c r="Q50" s="409" t="s">
        <v>1974</v>
      </c>
      <c r="R50" s="108" t="s">
        <v>1977</v>
      </c>
      <c r="S50" s="363" t="s">
        <v>45</v>
      </c>
      <c r="T50" s="108" t="s">
        <v>135</v>
      </c>
      <c r="U50" s="108" t="s">
        <v>135</v>
      </c>
      <c r="V50" s="108" t="s">
        <v>135</v>
      </c>
      <c r="W50" s="108" t="s">
        <v>135</v>
      </c>
      <c r="X50" s="967" t="s">
        <v>135</v>
      </c>
      <c r="AD50" s="8"/>
      <c r="AE50" s="8"/>
      <c r="AF50" s="46"/>
      <c r="AG50" s="46"/>
      <c r="AH50" s="46"/>
      <c r="AI50" s="36"/>
      <c r="AJ50" s="36"/>
      <c r="AL50" s="253"/>
      <c r="AM50" s="253"/>
      <c r="AN50" s="253"/>
      <c r="AO50" s="36"/>
      <c r="AP50" s="36"/>
      <c r="AQ50" s="36"/>
      <c r="AR50" s="36"/>
      <c r="AS50" s="254"/>
      <c r="AT50" s="46"/>
      <c r="AU50" s="235"/>
      <c r="AV50" s="235"/>
    </row>
    <row r="51" spans="2:48" x14ac:dyDescent="0.35">
      <c r="B51" s="302" t="str">
        <f t="shared" si="51"/>
        <v>Growth 2029 to 2045</v>
      </c>
      <c r="C51" s="101"/>
      <c r="D51" s="336" t="s">
        <v>135</v>
      </c>
      <c r="E51" s="336" t="s">
        <v>135</v>
      </c>
      <c r="F51" s="336" t="s">
        <v>135</v>
      </c>
      <c r="G51" s="336" t="s">
        <v>135</v>
      </c>
      <c r="H51" s="653" t="s">
        <v>135</v>
      </c>
      <c r="I51" s="336" t="s">
        <v>135</v>
      </c>
      <c r="J51" s="336" t="s">
        <v>135</v>
      </c>
      <c r="K51" s="336" t="s">
        <v>135</v>
      </c>
      <c r="L51" s="336" t="s">
        <v>135</v>
      </c>
      <c r="M51" s="336" t="s">
        <v>135</v>
      </c>
      <c r="N51" s="336" t="s">
        <v>135</v>
      </c>
      <c r="O51" s="336" t="s">
        <v>135</v>
      </c>
      <c r="P51" s="336" t="s">
        <v>135</v>
      </c>
      <c r="Q51" s="336" t="s">
        <v>135</v>
      </c>
      <c r="R51" s="336" t="s">
        <v>135</v>
      </c>
      <c r="S51" s="336" t="s">
        <v>135</v>
      </c>
      <c r="T51" s="336" t="s">
        <v>135</v>
      </c>
      <c r="U51" s="336" t="s">
        <v>135</v>
      </c>
      <c r="V51" s="336" t="s">
        <v>135</v>
      </c>
      <c r="W51" s="336" t="s">
        <v>135</v>
      </c>
      <c r="X51" s="968" t="s">
        <v>135</v>
      </c>
      <c r="AD51" s="8"/>
      <c r="AF51" s="148"/>
      <c r="AG51" s="148"/>
      <c r="AH51" s="148"/>
      <c r="AI51" s="148"/>
      <c r="AJ51" s="148"/>
      <c r="AK51" s="148"/>
      <c r="AL51" s="148"/>
      <c r="AM51" s="148"/>
      <c r="AN51" s="148"/>
      <c r="AO51" s="148"/>
      <c r="AP51" s="148"/>
      <c r="AQ51" s="148"/>
      <c r="AR51" s="148"/>
      <c r="AS51" s="148"/>
      <c r="AT51" s="148"/>
      <c r="AU51" s="148"/>
      <c r="AV51" s="148"/>
    </row>
    <row r="52" spans="2:48" ht="15" thickBot="1" x14ac:dyDescent="0.4">
      <c r="B52" s="66" t="str">
        <f>B12</f>
        <v>Growth 2023 to 2045</v>
      </c>
      <c r="C52" s="75"/>
      <c r="D52" s="304" t="s">
        <v>135</v>
      </c>
      <c r="E52" s="304" t="s">
        <v>135</v>
      </c>
      <c r="F52" s="304" t="s">
        <v>135</v>
      </c>
      <c r="G52" s="304" t="s">
        <v>45</v>
      </c>
      <c r="H52" s="654" t="s">
        <v>135</v>
      </c>
      <c r="I52" s="304" t="s">
        <v>135</v>
      </c>
      <c r="J52" s="304" t="s">
        <v>135</v>
      </c>
      <c r="K52" s="304" t="s">
        <v>135</v>
      </c>
      <c r="L52" s="304" t="s">
        <v>135</v>
      </c>
      <c r="M52" s="304" t="s">
        <v>135</v>
      </c>
      <c r="N52" s="304" t="s">
        <v>135</v>
      </c>
      <c r="O52" s="304" t="s">
        <v>135</v>
      </c>
      <c r="P52" s="304" t="s">
        <v>135</v>
      </c>
      <c r="Q52" s="304" t="s">
        <v>135</v>
      </c>
      <c r="R52" s="304" t="s">
        <v>135</v>
      </c>
      <c r="S52" s="252" t="s">
        <v>45</v>
      </c>
      <c r="T52" s="304" t="s">
        <v>135</v>
      </c>
      <c r="U52" s="304" t="s">
        <v>135</v>
      </c>
      <c r="V52" s="304" t="s">
        <v>135</v>
      </c>
      <c r="W52" s="304" t="s">
        <v>135</v>
      </c>
      <c r="X52" s="969" t="s">
        <v>135</v>
      </c>
      <c r="AD52" s="8"/>
      <c r="AF52" s="148"/>
      <c r="AG52" s="148"/>
      <c r="AH52" s="148"/>
      <c r="AI52" s="148"/>
      <c r="AJ52" s="148"/>
      <c r="AK52" s="148"/>
      <c r="AL52" s="148"/>
      <c r="AM52" s="148"/>
      <c r="AN52" s="148"/>
      <c r="AO52" s="148"/>
      <c r="AP52" s="148"/>
      <c r="AQ52" s="148"/>
      <c r="AR52" s="148"/>
      <c r="AS52" s="148"/>
      <c r="AT52" s="148"/>
      <c r="AU52" s="148"/>
      <c r="AV52" s="148"/>
    </row>
    <row r="53" spans="2:48" ht="15" thickTop="1" x14ac:dyDescent="0.35">
      <c r="B53" s="236">
        <v>2021</v>
      </c>
      <c r="C53" s="195" t="str">
        <f>C13</f>
        <v>OpenAI, GPT-4, A100</v>
      </c>
      <c r="D53" s="297" t="s">
        <v>45</v>
      </c>
      <c r="E53" s="196" t="s">
        <v>225</v>
      </c>
      <c r="F53" s="196" t="s">
        <v>225</v>
      </c>
      <c r="G53" s="196" t="s">
        <v>45</v>
      </c>
      <c r="H53" s="297" t="s">
        <v>135</v>
      </c>
      <c r="I53" s="196" t="s">
        <v>45</v>
      </c>
      <c r="J53" s="196" t="s">
        <v>225</v>
      </c>
      <c r="K53" s="196" t="s">
        <v>225</v>
      </c>
      <c r="L53" s="196" t="s">
        <v>45</v>
      </c>
      <c r="M53" s="196" t="s">
        <v>135</v>
      </c>
      <c r="N53" s="196" t="s">
        <v>225</v>
      </c>
      <c r="O53" s="196" t="s">
        <v>135</v>
      </c>
      <c r="P53" s="196" t="s">
        <v>135</v>
      </c>
      <c r="Q53" s="196"/>
      <c r="R53" s="196" t="s">
        <v>45</v>
      </c>
      <c r="S53" s="196" t="s">
        <v>45</v>
      </c>
      <c r="T53" s="196" t="s">
        <v>225</v>
      </c>
      <c r="U53" s="196" t="s">
        <v>225</v>
      </c>
      <c r="V53" s="196" t="s">
        <v>135</v>
      </c>
      <c r="W53" s="196" t="s">
        <v>135</v>
      </c>
      <c r="X53" s="343" t="s">
        <v>225</v>
      </c>
      <c r="AE53" s="8"/>
      <c r="AF53" s="69"/>
      <c r="AG53" s="69"/>
      <c r="AH53" s="69"/>
      <c r="AI53" s="2"/>
      <c r="AJ53" s="2"/>
      <c r="AK53" s="2"/>
      <c r="AL53" s="2"/>
      <c r="AM53" s="2"/>
      <c r="AN53" s="2"/>
      <c r="AO53" s="2"/>
      <c r="AP53" s="2"/>
      <c r="AQ53" s="2"/>
      <c r="AR53" s="2"/>
      <c r="AS53" s="34"/>
      <c r="AT53" s="34"/>
      <c r="AU53" s="34"/>
      <c r="AV53" s="34"/>
    </row>
    <row r="54" spans="2:48" x14ac:dyDescent="0.35">
      <c r="B54" s="236">
        <v>2022</v>
      </c>
      <c r="C54" s="195" t="str">
        <f t="shared" ref="C54:C58" si="52">C14</f>
        <v>NVIDIA, Eos, H100</v>
      </c>
      <c r="D54" s="297" t="s">
        <v>135</v>
      </c>
      <c r="E54" s="196" t="s">
        <v>225</v>
      </c>
      <c r="F54" s="196" t="s">
        <v>225</v>
      </c>
      <c r="G54" s="196" t="s">
        <v>45</v>
      </c>
      <c r="H54" s="297" t="s">
        <v>135</v>
      </c>
      <c r="I54" s="196" t="s">
        <v>45</v>
      </c>
      <c r="J54" s="196" t="s">
        <v>225</v>
      </c>
      <c r="K54" s="196" t="s">
        <v>225</v>
      </c>
      <c r="L54" s="196" t="s">
        <v>135</v>
      </c>
      <c r="M54" s="196" t="s">
        <v>135</v>
      </c>
      <c r="N54" s="196" t="s">
        <v>225</v>
      </c>
      <c r="O54" s="196" t="s">
        <v>135</v>
      </c>
      <c r="P54" s="196" t="s">
        <v>135</v>
      </c>
      <c r="Q54" s="196"/>
      <c r="R54" s="196" t="s">
        <v>45</v>
      </c>
      <c r="S54" s="196" t="s">
        <v>45</v>
      </c>
      <c r="T54" s="196" t="s">
        <v>225</v>
      </c>
      <c r="U54" s="196" t="s">
        <v>225</v>
      </c>
      <c r="V54" s="196" t="s">
        <v>135</v>
      </c>
      <c r="W54" s="196" t="s">
        <v>135</v>
      </c>
      <c r="X54" s="343" t="s">
        <v>225</v>
      </c>
      <c r="AE54" s="8"/>
      <c r="AF54" s="255"/>
      <c r="AG54" s="255"/>
      <c r="AH54" s="255"/>
      <c r="AI54" s="34"/>
      <c r="AJ54" s="34"/>
      <c r="AK54" s="34"/>
      <c r="AL54" s="34"/>
      <c r="AM54" s="34"/>
      <c r="AN54" s="34"/>
      <c r="AO54" s="34"/>
      <c r="AP54" s="34"/>
      <c r="AQ54" s="34"/>
      <c r="AR54" s="34"/>
      <c r="AS54" s="34"/>
      <c r="AT54" s="34"/>
      <c r="AU54" s="34"/>
      <c r="AV54" s="34"/>
    </row>
    <row r="55" spans="2:48" x14ac:dyDescent="0.35">
      <c r="B55" s="236">
        <v>2023</v>
      </c>
      <c r="C55" s="195" t="str">
        <f t="shared" si="52"/>
        <v>Tesla, H100</v>
      </c>
      <c r="D55" s="297" t="s">
        <v>135</v>
      </c>
      <c r="E55" s="196" t="s">
        <v>225</v>
      </c>
      <c r="F55" s="196" t="s">
        <v>225</v>
      </c>
      <c r="G55" s="196" t="s">
        <v>45</v>
      </c>
      <c r="H55" s="297" t="s">
        <v>135</v>
      </c>
      <c r="I55" s="196" t="s">
        <v>45</v>
      </c>
      <c r="J55" s="196" t="s">
        <v>225</v>
      </c>
      <c r="K55" s="196" t="s">
        <v>225</v>
      </c>
      <c r="L55" s="196" t="s">
        <v>135</v>
      </c>
      <c r="M55" s="196" t="s">
        <v>135</v>
      </c>
      <c r="N55" s="196" t="s">
        <v>225</v>
      </c>
      <c r="O55" s="196" t="s">
        <v>135</v>
      </c>
      <c r="P55" s="196" t="s">
        <v>135</v>
      </c>
      <c r="Q55" s="349" t="s">
        <v>1971</v>
      </c>
      <c r="R55" s="196" t="s">
        <v>135</v>
      </c>
      <c r="S55" s="196" t="s">
        <v>45</v>
      </c>
      <c r="T55" s="196" t="s">
        <v>225</v>
      </c>
      <c r="U55" s="196" t="s">
        <v>225</v>
      </c>
      <c r="V55" s="196" t="s">
        <v>135</v>
      </c>
      <c r="W55" s="196" t="s">
        <v>135</v>
      </c>
      <c r="X55" s="343" t="s">
        <v>225</v>
      </c>
      <c r="AE55" s="8"/>
      <c r="AF55" s="255"/>
      <c r="AG55" s="255"/>
      <c r="AH55" s="255"/>
      <c r="AI55" s="34"/>
      <c r="AJ55" s="34"/>
      <c r="AK55" s="34"/>
      <c r="AL55" s="34"/>
      <c r="AM55" s="34"/>
      <c r="AN55" s="34"/>
      <c r="AO55" s="34"/>
      <c r="AP55" s="34"/>
      <c r="AQ55" s="34"/>
      <c r="AR55" s="34"/>
      <c r="AS55" s="34"/>
      <c r="AT55" s="34"/>
      <c r="AU55" s="34"/>
      <c r="AV55" s="34"/>
    </row>
    <row r="56" spans="2:48" x14ac:dyDescent="0.35">
      <c r="B56" s="236">
        <v>2024</v>
      </c>
      <c r="C56" s="195" t="str">
        <f t="shared" si="52"/>
        <v>xAI, H100 Colossus 1st version</v>
      </c>
      <c r="D56" s="297" t="s">
        <v>135</v>
      </c>
      <c r="E56" s="196" t="s">
        <v>225</v>
      </c>
      <c r="F56" s="196" t="s">
        <v>225</v>
      </c>
      <c r="G56" s="196" t="s">
        <v>45</v>
      </c>
      <c r="H56" s="297" t="s">
        <v>135</v>
      </c>
      <c r="I56" s="196" t="s">
        <v>45</v>
      </c>
      <c r="J56" s="196" t="s">
        <v>225</v>
      </c>
      <c r="K56" s="196" t="s">
        <v>225</v>
      </c>
      <c r="L56" s="196" t="s">
        <v>135</v>
      </c>
      <c r="M56" s="196" t="s">
        <v>135</v>
      </c>
      <c r="N56" s="196" t="s">
        <v>225</v>
      </c>
      <c r="O56" s="196" t="s">
        <v>135</v>
      </c>
      <c r="P56" s="196" t="s">
        <v>135</v>
      </c>
      <c r="Q56" s="196" t="s">
        <v>135</v>
      </c>
      <c r="R56" s="196" t="s">
        <v>135</v>
      </c>
      <c r="S56" s="196" t="s">
        <v>45</v>
      </c>
      <c r="T56" s="350" t="s">
        <v>1019</v>
      </c>
      <c r="U56" s="196" t="s">
        <v>225</v>
      </c>
      <c r="V56" s="196" t="s">
        <v>135</v>
      </c>
      <c r="W56" s="196" t="s">
        <v>135</v>
      </c>
      <c r="X56" s="343" t="s">
        <v>225</v>
      </c>
      <c r="AE56" s="8"/>
      <c r="AF56" s="69"/>
      <c r="AG56" s="69"/>
      <c r="AH56" s="69"/>
      <c r="AI56" s="2"/>
      <c r="AJ56" s="2"/>
      <c r="AK56" s="2"/>
      <c r="AL56" s="2"/>
      <c r="AM56" s="2"/>
      <c r="AN56" s="2"/>
      <c r="AO56" s="2"/>
      <c r="AP56" s="2"/>
      <c r="AQ56" s="2"/>
      <c r="AR56" s="2"/>
      <c r="AS56" s="34"/>
      <c r="AT56" s="34"/>
      <c r="AU56" s="34"/>
      <c r="AV56" s="34"/>
    </row>
    <row r="57" spans="2:48" x14ac:dyDescent="0.35">
      <c r="B57" s="236">
        <v>2025</v>
      </c>
      <c r="C57" s="195" t="str">
        <f t="shared" si="52"/>
        <v>xAI, B200</v>
      </c>
      <c r="D57" s="297" t="s">
        <v>135</v>
      </c>
      <c r="E57" s="196" t="s">
        <v>225</v>
      </c>
      <c r="F57" s="196" t="s">
        <v>225</v>
      </c>
      <c r="G57" s="196" t="s">
        <v>45</v>
      </c>
      <c r="H57" s="297" t="s">
        <v>135</v>
      </c>
      <c r="I57" s="196" t="s">
        <v>45</v>
      </c>
      <c r="J57" s="196" t="s">
        <v>225</v>
      </c>
      <c r="K57" s="196" t="s">
        <v>225</v>
      </c>
      <c r="L57" s="196" t="s">
        <v>135</v>
      </c>
      <c r="M57" s="196" t="s">
        <v>135</v>
      </c>
      <c r="N57" s="196" t="s">
        <v>225</v>
      </c>
      <c r="O57" s="196" t="s">
        <v>135</v>
      </c>
      <c r="P57" s="196" t="s">
        <v>135</v>
      </c>
      <c r="Q57" s="196" t="s">
        <v>135</v>
      </c>
      <c r="R57" s="196" t="s">
        <v>135</v>
      </c>
      <c r="S57" s="196" t="s">
        <v>45</v>
      </c>
      <c r="T57" s="350" t="s">
        <v>1019</v>
      </c>
      <c r="U57" s="196" t="s">
        <v>225</v>
      </c>
      <c r="V57" s="196" t="s">
        <v>135</v>
      </c>
      <c r="W57" s="196" t="s">
        <v>135</v>
      </c>
      <c r="X57" s="343" t="s">
        <v>225</v>
      </c>
      <c r="AB57" s="2"/>
      <c r="AE57" s="8"/>
      <c r="AF57" s="69"/>
      <c r="AG57" s="69"/>
      <c r="AH57" s="69"/>
      <c r="AI57" s="2"/>
      <c r="AJ57" s="2"/>
      <c r="AK57" s="2"/>
      <c r="AL57" s="2"/>
      <c r="AM57" s="2"/>
      <c r="AN57" s="2"/>
      <c r="AO57" s="2"/>
      <c r="AP57" s="2"/>
      <c r="AQ57" s="2"/>
      <c r="AR57" s="2"/>
      <c r="AS57" s="34"/>
      <c r="AT57" s="34"/>
      <c r="AU57" s="34"/>
      <c r="AV57" s="34"/>
    </row>
    <row r="58" spans="2:48" x14ac:dyDescent="0.35">
      <c r="B58" s="236">
        <v>2026</v>
      </c>
      <c r="C58" s="195" t="str">
        <f t="shared" si="52"/>
        <v>NVIDIA, X800 ultra GB200</v>
      </c>
      <c r="D58" s="297" t="s">
        <v>135</v>
      </c>
      <c r="E58" s="196" t="s">
        <v>225</v>
      </c>
      <c r="F58" s="196" t="s">
        <v>225</v>
      </c>
      <c r="G58" s="196" t="s">
        <v>225</v>
      </c>
      <c r="H58" s="297" t="s">
        <v>225</v>
      </c>
      <c r="I58" s="196">
        <v>1</v>
      </c>
      <c r="J58" s="196" t="s">
        <v>225</v>
      </c>
      <c r="K58" s="196" t="s">
        <v>225</v>
      </c>
      <c r="L58" s="196" t="s">
        <v>135</v>
      </c>
      <c r="M58" s="196" t="s">
        <v>135</v>
      </c>
      <c r="N58" s="196" t="s">
        <v>225</v>
      </c>
      <c r="O58" s="196" t="s">
        <v>135</v>
      </c>
      <c r="P58" s="196" t="s">
        <v>135</v>
      </c>
      <c r="Q58" s="196" t="s">
        <v>135</v>
      </c>
      <c r="R58" s="196" t="s">
        <v>135</v>
      </c>
      <c r="S58" s="196" t="s">
        <v>225</v>
      </c>
      <c r="T58" s="196" t="s">
        <v>1020</v>
      </c>
      <c r="U58" s="196" t="s">
        <v>225</v>
      </c>
      <c r="V58" s="196" t="s">
        <v>135</v>
      </c>
      <c r="W58" s="196" t="s">
        <v>135</v>
      </c>
      <c r="X58" s="343" t="s">
        <v>225</v>
      </c>
      <c r="AE58" s="8"/>
      <c r="AF58" s="69"/>
      <c r="AG58" s="69"/>
      <c r="AH58" s="69"/>
      <c r="AI58" s="2"/>
      <c r="AJ58" s="2"/>
      <c r="AK58" s="2"/>
      <c r="AL58" s="2"/>
      <c r="AM58" s="2"/>
      <c r="AN58" s="2"/>
      <c r="AO58" s="2"/>
      <c r="AP58" s="2"/>
      <c r="AQ58" s="2"/>
      <c r="AR58" s="2"/>
      <c r="AS58" s="34"/>
      <c r="AT58" s="34"/>
      <c r="AU58" s="34"/>
      <c r="AV58" s="34"/>
    </row>
    <row r="59" spans="2:48" x14ac:dyDescent="0.35">
      <c r="B59" s="52">
        <v>2027</v>
      </c>
      <c r="C59" t="s">
        <v>1069</v>
      </c>
      <c r="D59" s="69" t="s">
        <v>225</v>
      </c>
      <c r="E59" s="34" t="s">
        <v>135</v>
      </c>
      <c r="F59" s="34" t="s">
        <v>135</v>
      </c>
      <c r="G59" s="34" t="s">
        <v>135</v>
      </c>
      <c r="H59" s="69" t="s">
        <v>225</v>
      </c>
      <c r="I59" s="34" t="s">
        <v>135</v>
      </c>
      <c r="J59" s="34" t="s">
        <v>898</v>
      </c>
      <c r="K59" s="34" t="s">
        <v>225</v>
      </c>
      <c r="L59" s="34" t="s">
        <v>135</v>
      </c>
      <c r="M59" s="34" t="s">
        <v>135</v>
      </c>
      <c r="N59" s="69" t="s">
        <v>225</v>
      </c>
      <c r="O59" s="34" t="s">
        <v>135</v>
      </c>
      <c r="P59" s="34" t="s">
        <v>135</v>
      </c>
      <c r="Q59" s="34" t="s">
        <v>135</v>
      </c>
      <c r="R59" s="34" t="s">
        <v>135</v>
      </c>
      <c r="S59" s="34" t="s">
        <v>225</v>
      </c>
      <c r="T59" s="34" t="s">
        <v>135</v>
      </c>
      <c r="U59" s="34" t="s">
        <v>135</v>
      </c>
      <c r="V59" s="172" t="s">
        <v>135</v>
      </c>
      <c r="W59" s="172" t="s">
        <v>135</v>
      </c>
      <c r="X59" s="171" t="s">
        <v>225</v>
      </c>
      <c r="AF59" s="69"/>
      <c r="AG59" s="69"/>
      <c r="AH59" s="69"/>
      <c r="AI59" s="2"/>
      <c r="AJ59" s="2"/>
      <c r="AK59" s="2"/>
      <c r="AL59" s="2"/>
      <c r="AM59" s="2"/>
      <c r="AN59" s="2"/>
      <c r="AO59" s="2"/>
      <c r="AP59" s="2"/>
      <c r="AQ59" s="2"/>
      <c r="AR59" s="2"/>
      <c r="AS59" s="34"/>
      <c r="AT59" s="34"/>
      <c r="AU59" s="34"/>
      <c r="AV59" s="34"/>
    </row>
    <row r="60" spans="2:48" x14ac:dyDescent="0.35">
      <c r="B60" s="52">
        <v>2028</v>
      </c>
      <c r="C60" t="s">
        <v>1069</v>
      </c>
      <c r="D60" s="69" t="s">
        <v>225</v>
      </c>
      <c r="E60" s="34" t="s">
        <v>135</v>
      </c>
      <c r="F60" s="34" t="s">
        <v>135</v>
      </c>
      <c r="G60" s="34" t="s">
        <v>135</v>
      </c>
      <c r="H60" s="69" t="s">
        <v>225</v>
      </c>
      <c r="I60" s="34" t="s">
        <v>135</v>
      </c>
      <c r="J60" s="34" t="s">
        <v>225</v>
      </c>
      <c r="K60" s="34" t="s">
        <v>225</v>
      </c>
      <c r="L60" s="34" t="s">
        <v>135</v>
      </c>
      <c r="M60" s="34" t="s">
        <v>135</v>
      </c>
      <c r="N60" s="69" t="s">
        <v>225</v>
      </c>
      <c r="O60" s="34" t="s">
        <v>135</v>
      </c>
      <c r="P60" s="34" t="s">
        <v>135</v>
      </c>
      <c r="Q60" s="34" t="s">
        <v>135</v>
      </c>
      <c r="R60" s="34" t="s">
        <v>135</v>
      </c>
      <c r="S60" s="34" t="s">
        <v>225</v>
      </c>
      <c r="T60" s="34" t="s">
        <v>135</v>
      </c>
      <c r="U60" s="34" t="s">
        <v>135</v>
      </c>
      <c r="V60" s="172" t="s">
        <v>135</v>
      </c>
      <c r="W60" s="172" t="s">
        <v>135</v>
      </c>
      <c r="X60" s="171" t="s">
        <v>225</v>
      </c>
      <c r="AF60" s="69"/>
      <c r="AG60" s="69"/>
      <c r="AH60" s="69"/>
      <c r="AI60" s="2"/>
      <c r="AJ60" s="2"/>
      <c r="AK60" s="2"/>
      <c r="AL60" s="2"/>
      <c r="AM60" s="2"/>
      <c r="AN60" s="2"/>
      <c r="AO60" s="2"/>
      <c r="AP60" s="2"/>
      <c r="AQ60" s="2"/>
      <c r="AR60" s="2"/>
      <c r="AS60" s="34"/>
      <c r="AT60" s="34"/>
      <c r="AU60" s="34"/>
      <c r="AV60" s="34"/>
    </row>
    <row r="61" spans="2:48" x14ac:dyDescent="0.35">
      <c r="B61" s="522">
        <v>2029</v>
      </c>
      <c r="C61" s="1" t="str">
        <f>C21</f>
        <v>Weak AGIs = human level AGI + sub-human level android. They can do nearly all cognitive work but less than 1/10 of all physical work regarding jobs existing in 2025. Weak AGIs reside in datacenters to do cognitive work and remote control sub human level humanoid robots to do simple physical work (like delivering parcels from delivery van). Most AGI reasoning has to be done at the datacenter because in 2029 AI chips still does not exist that consume little enough power to fit inside a humanoid robot with a power limit of at most 200 watt and be able to do the high level thinking associated with weak AGI.</v>
      </c>
      <c r="D61" s="523" t="s">
        <v>225</v>
      </c>
      <c r="E61" s="230" t="s">
        <v>135</v>
      </c>
      <c r="F61" s="230" t="s">
        <v>135</v>
      </c>
      <c r="G61" s="230" t="s">
        <v>135</v>
      </c>
      <c r="H61" s="523" t="s">
        <v>225</v>
      </c>
      <c r="I61" s="230" t="s">
        <v>135</v>
      </c>
      <c r="J61" s="230" t="s">
        <v>135</v>
      </c>
      <c r="K61" s="230" t="s">
        <v>225</v>
      </c>
      <c r="L61" s="524" t="s">
        <v>3152</v>
      </c>
      <c r="M61" s="230" t="s">
        <v>135</v>
      </c>
      <c r="N61" s="523" t="s">
        <v>225</v>
      </c>
      <c r="O61" s="230" t="s">
        <v>135</v>
      </c>
      <c r="P61" s="230" t="s">
        <v>135</v>
      </c>
      <c r="Q61" s="230" t="s">
        <v>135</v>
      </c>
      <c r="R61" s="230" t="s">
        <v>135</v>
      </c>
      <c r="S61" s="230" t="s">
        <v>225</v>
      </c>
      <c r="T61" s="230" t="s">
        <v>135</v>
      </c>
      <c r="U61" s="230" t="s">
        <v>135</v>
      </c>
      <c r="V61" s="230" t="s">
        <v>135</v>
      </c>
      <c r="W61" s="230" t="s">
        <v>135</v>
      </c>
      <c r="X61" s="521" t="s">
        <v>225</v>
      </c>
      <c r="AF61" s="69"/>
      <c r="AG61" s="69"/>
      <c r="AH61" s="69"/>
      <c r="AI61" s="2"/>
      <c r="AJ61" s="2"/>
      <c r="AK61" s="2"/>
      <c r="AL61" s="2"/>
      <c r="AM61" s="2"/>
      <c r="AN61" s="2"/>
      <c r="AO61" s="2"/>
      <c r="AP61" s="2"/>
      <c r="AQ61" s="2"/>
      <c r="AR61" s="2"/>
      <c r="AS61" s="34"/>
      <c r="AT61" s="34"/>
      <c r="AU61" s="34"/>
      <c r="AV61" s="34"/>
    </row>
    <row r="62" spans="2:48" x14ac:dyDescent="0.35">
      <c r="B62" s="52">
        <v>2030</v>
      </c>
      <c r="D62" s="69" t="s">
        <v>225</v>
      </c>
      <c r="E62" s="34" t="s">
        <v>135</v>
      </c>
      <c r="F62" s="34" t="s">
        <v>135</v>
      </c>
      <c r="G62" s="34" t="s">
        <v>135</v>
      </c>
      <c r="H62" s="69" t="s">
        <v>225</v>
      </c>
      <c r="I62" s="34" t="s">
        <v>135</v>
      </c>
      <c r="J62" s="34" t="s">
        <v>135</v>
      </c>
      <c r="K62" s="34" t="s">
        <v>225</v>
      </c>
      <c r="L62" s="202" t="s">
        <v>3152</v>
      </c>
      <c r="M62" s="34" t="s">
        <v>135</v>
      </c>
      <c r="N62" s="69" t="s">
        <v>225</v>
      </c>
      <c r="O62" s="34" t="s">
        <v>135</v>
      </c>
      <c r="P62" s="34" t="s">
        <v>135</v>
      </c>
      <c r="Q62" s="34" t="s">
        <v>135</v>
      </c>
      <c r="R62" s="34" t="s">
        <v>135</v>
      </c>
      <c r="S62" s="34" t="s">
        <v>225</v>
      </c>
      <c r="T62" s="34" t="s">
        <v>135</v>
      </c>
      <c r="U62" s="34" t="s">
        <v>135</v>
      </c>
      <c r="V62" s="172" t="s">
        <v>135</v>
      </c>
      <c r="W62" s="172" t="s">
        <v>135</v>
      </c>
      <c r="X62" s="171" t="s">
        <v>225</v>
      </c>
      <c r="AF62" s="69"/>
      <c r="AG62" s="69"/>
      <c r="AH62" s="69"/>
      <c r="AI62" s="2"/>
      <c r="AJ62" s="2"/>
      <c r="AK62" s="2"/>
      <c r="AL62" s="34"/>
      <c r="AM62" s="34"/>
      <c r="AN62" s="34"/>
      <c r="AO62" s="34"/>
      <c r="AP62" s="34"/>
      <c r="AQ62" s="34"/>
      <c r="AR62" s="34"/>
      <c r="AS62" s="34"/>
      <c r="AT62" s="34"/>
      <c r="AU62" s="34"/>
      <c r="AV62" s="34"/>
    </row>
    <row r="63" spans="2:48" x14ac:dyDescent="0.35">
      <c r="B63" s="52">
        <v>2031</v>
      </c>
      <c r="D63" s="69" t="s">
        <v>225</v>
      </c>
      <c r="E63" s="34" t="s">
        <v>135</v>
      </c>
      <c r="F63" s="34" t="s">
        <v>135</v>
      </c>
      <c r="G63" s="34" t="s">
        <v>135</v>
      </c>
      <c r="H63" s="69" t="s">
        <v>225</v>
      </c>
      <c r="I63" s="34" t="s">
        <v>135</v>
      </c>
      <c r="J63" s="34" t="s">
        <v>135</v>
      </c>
      <c r="K63" s="34" t="s">
        <v>225</v>
      </c>
      <c r="L63" s="202" t="s">
        <v>3152</v>
      </c>
      <c r="M63" s="34" t="s">
        <v>135</v>
      </c>
      <c r="N63" s="69" t="s">
        <v>225</v>
      </c>
      <c r="O63" s="34" t="s">
        <v>135</v>
      </c>
      <c r="P63" s="34" t="s">
        <v>135</v>
      </c>
      <c r="Q63" s="34" t="s">
        <v>135</v>
      </c>
      <c r="R63" s="34" t="s">
        <v>135</v>
      </c>
      <c r="S63" s="34" t="s">
        <v>225</v>
      </c>
      <c r="T63" s="34" t="s">
        <v>135</v>
      </c>
      <c r="U63" s="34" t="s">
        <v>135</v>
      </c>
      <c r="V63" s="172" t="s">
        <v>135</v>
      </c>
      <c r="W63" s="172" t="s">
        <v>135</v>
      </c>
      <c r="X63" s="171" t="s">
        <v>225</v>
      </c>
      <c r="AF63" s="69"/>
      <c r="AG63" s="69"/>
      <c r="AH63" s="69"/>
      <c r="AI63" s="2"/>
      <c r="AJ63" s="2"/>
      <c r="AK63" s="2"/>
      <c r="AL63" s="34"/>
      <c r="AM63" s="34"/>
      <c r="AN63" s="34"/>
      <c r="AO63" s="34"/>
      <c r="AP63" s="34"/>
      <c r="AQ63" s="34"/>
      <c r="AR63" s="34"/>
      <c r="AS63" s="34"/>
      <c r="AT63" s="34"/>
      <c r="AU63" s="34"/>
      <c r="AV63" s="34"/>
    </row>
    <row r="64" spans="2:48" x14ac:dyDescent="0.35">
      <c r="B64" s="52">
        <v>2032</v>
      </c>
      <c r="D64" s="69" t="s">
        <v>225</v>
      </c>
      <c r="E64" s="34" t="s">
        <v>135</v>
      </c>
      <c r="F64" s="34" t="s">
        <v>135</v>
      </c>
      <c r="G64" s="34" t="s">
        <v>135</v>
      </c>
      <c r="H64" s="69" t="s">
        <v>225</v>
      </c>
      <c r="I64" s="34" t="s">
        <v>135</v>
      </c>
      <c r="J64" s="34" t="s">
        <v>135</v>
      </c>
      <c r="K64" s="34" t="s">
        <v>225</v>
      </c>
      <c r="L64" s="202" t="s">
        <v>3152</v>
      </c>
      <c r="M64" s="34" t="s">
        <v>135</v>
      </c>
      <c r="N64" s="69" t="s">
        <v>225</v>
      </c>
      <c r="O64" s="34" t="s">
        <v>135</v>
      </c>
      <c r="P64" s="34" t="s">
        <v>135</v>
      </c>
      <c r="Q64" s="34" t="s">
        <v>135</v>
      </c>
      <c r="R64" s="34" t="s">
        <v>135</v>
      </c>
      <c r="S64" s="34" t="s">
        <v>225</v>
      </c>
      <c r="T64" s="34" t="s">
        <v>135</v>
      </c>
      <c r="U64" s="34" t="s">
        <v>135</v>
      </c>
      <c r="V64" s="172" t="s">
        <v>135</v>
      </c>
      <c r="W64" s="172" t="s">
        <v>135</v>
      </c>
      <c r="X64" s="171" t="s">
        <v>225</v>
      </c>
      <c r="AF64" s="69"/>
      <c r="AG64" s="69"/>
      <c r="AH64" s="69"/>
      <c r="AI64" s="2"/>
      <c r="AJ64" s="2"/>
      <c r="AK64" s="2"/>
      <c r="AL64" s="34"/>
      <c r="AM64" s="34"/>
      <c r="AN64" s="34"/>
      <c r="AO64" s="34"/>
      <c r="AP64" s="34"/>
      <c r="AQ64" s="34"/>
      <c r="AR64" s="34"/>
      <c r="AS64" s="34"/>
      <c r="AT64" s="34"/>
      <c r="AU64" s="34"/>
      <c r="AV64" s="34"/>
    </row>
    <row r="65" spans="2:48" x14ac:dyDescent="0.35">
      <c r="B65" s="52">
        <v>2033</v>
      </c>
      <c r="D65" s="69" t="s">
        <v>225</v>
      </c>
      <c r="E65" s="34" t="s">
        <v>135</v>
      </c>
      <c r="F65" s="34" t="s">
        <v>135</v>
      </c>
      <c r="G65" s="34" t="s">
        <v>135</v>
      </c>
      <c r="H65" s="69" t="s">
        <v>225</v>
      </c>
      <c r="I65" s="34" t="s">
        <v>135</v>
      </c>
      <c r="J65" s="34" t="s">
        <v>135</v>
      </c>
      <c r="K65" s="34" t="s">
        <v>225</v>
      </c>
      <c r="L65" s="202" t="s">
        <v>3152</v>
      </c>
      <c r="M65" s="34" t="s">
        <v>135</v>
      </c>
      <c r="N65" s="69" t="s">
        <v>225</v>
      </c>
      <c r="O65" s="34" t="s">
        <v>135</v>
      </c>
      <c r="P65" s="34" t="s">
        <v>135</v>
      </c>
      <c r="Q65" s="34" t="s">
        <v>135</v>
      </c>
      <c r="R65" s="34" t="s">
        <v>135</v>
      </c>
      <c r="S65" s="34" t="s">
        <v>225</v>
      </c>
      <c r="T65" s="34" t="s">
        <v>135</v>
      </c>
      <c r="U65" s="34" t="s">
        <v>135</v>
      </c>
      <c r="V65" s="172" t="s">
        <v>135</v>
      </c>
      <c r="W65" s="172" t="s">
        <v>135</v>
      </c>
      <c r="X65" s="171" t="s">
        <v>225</v>
      </c>
      <c r="AF65" s="69"/>
      <c r="AG65" s="69"/>
      <c r="AH65" s="69"/>
      <c r="AI65" s="2"/>
      <c r="AJ65" s="2"/>
      <c r="AK65" s="2"/>
      <c r="AL65" s="34"/>
      <c r="AM65" s="34"/>
      <c r="AN65" s="34"/>
      <c r="AO65" s="34"/>
      <c r="AP65" s="34"/>
      <c r="AQ65" s="34"/>
      <c r="AR65" s="34"/>
      <c r="AS65" s="34"/>
      <c r="AT65" s="34"/>
      <c r="AU65" s="34"/>
      <c r="AV65" s="34"/>
    </row>
    <row r="66" spans="2:48" x14ac:dyDescent="0.35">
      <c r="B66" s="52">
        <v>2034</v>
      </c>
      <c r="D66" s="69" t="s">
        <v>225</v>
      </c>
      <c r="E66" s="34" t="s">
        <v>135</v>
      </c>
      <c r="F66" s="34" t="s">
        <v>135</v>
      </c>
      <c r="G66" s="34" t="s">
        <v>135</v>
      </c>
      <c r="H66" s="69" t="s">
        <v>225</v>
      </c>
      <c r="I66" s="34" t="s">
        <v>135</v>
      </c>
      <c r="J66" s="34" t="s">
        <v>135</v>
      </c>
      <c r="K66" s="34" t="s">
        <v>225</v>
      </c>
      <c r="L66" s="202" t="s">
        <v>3152</v>
      </c>
      <c r="M66" s="34" t="s">
        <v>135</v>
      </c>
      <c r="N66" s="69" t="s">
        <v>225</v>
      </c>
      <c r="O66" s="34" t="s">
        <v>135</v>
      </c>
      <c r="P66" s="34" t="s">
        <v>135</v>
      </c>
      <c r="Q66" s="34" t="s">
        <v>135</v>
      </c>
      <c r="R66" s="34" t="s">
        <v>135</v>
      </c>
      <c r="S66" s="34" t="s">
        <v>225</v>
      </c>
      <c r="T66" s="34" t="s">
        <v>135</v>
      </c>
      <c r="U66" s="34" t="s">
        <v>135</v>
      </c>
      <c r="V66" s="172" t="s">
        <v>135</v>
      </c>
      <c r="W66" s="172" t="s">
        <v>135</v>
      </c>
      <c r="X66" s="171" t="s">
        <v>225</v>
      </c>
      <c r="AF66" s="69"/>
      <c r="AG66" s="69"/>
      <c r="AH66" s="69"/>
      <c r="AI66" s="2"/>
      <c r="AJ66" s="2"/>
      <c r="AK66" s="2"/>
      <c r="AL66" s="34"/>
      <c r="AM66" s="34"/>
      <c r="AN66" s="34"/>
      <c r="AO66" s="34"/>
      <c r="AP66" s="34"/>
      <c r="AQ66" s="34"/>
      <c r="AR66" s="34"/>
      <c r="AS66" s="34"/>
      <c r="AT66" s="34"/>
      <c r="AU66" s="34"/>
      <c r="AV66" s="34"/>
    </row>
    <row r="67" spans="2:48" x14ac:dyDescent="0.35">
      <c r="B67" s="522">
        <v>2035</v>
      </c>
      <c r="C67" s="1" t="str">
        <f>C27</f>
        <v>Strong AGI - Life 3.0  - Strong AGIs = Super human AGI + human level android. They can do all cognitive and all physical work that humans can do even the work of the brightest and most athletic humans. Strong AGIs use human level androids that are mostly remote controlled from Strong AGIs at the datacenter. Most AGI reasoning has to be done at the datacenter because in 2035 AI chips still does not exist that consume little enough power to fit inside a humanoid robot with a power limit of at most 200 watt and be able to do the high level thinking associated with strong AGI. To be sure, strong AGIs at datacenter &amp; human level androids will be as sentient as any human and will have the potential to colonize space independently of humans. This definition and prediction of 2035 for when strong AGI and human level androids will happen is HMs current conviction in 2025. HM is not very certain about this timeline. Strong AGI could come sooner or later than 2035. The prediction for strong AGI by 2035 is similar to expectations made by Yann LeCun, Andrej Karpathy, Richard Sutton and Geoffrey Hinton.</v>
      </c>
      <c r="D67" s="523" t="s">
        <v>225</v>
      </c>
      <c r="E67" s="230" t="s">
        <v>135</v>
      </c>
      <c r="F67" s="230" t="s">
        <v>135</v>
      </c>
      <c r="G67" s="230" t="s">
        <v>135</v>
      </c>
      <c r="H67" s="523" t="s">
        <v>225</v>
      </c>
      <c r="I67" s="230" t="s">
        <v>135</v>
      </c>
      <c r="J67" s="230" t="s">
        <v>135</v>
      </c>
      <c r="K67" s="230" t="s">
        <v>225</v>
      </c>
      <c r="L67" s="202" t="s">
        <v>3152</v>
      </c>
      <c r="M67" s="230" t="s">
        <v>135</v>
      </c>
      <c r="N67" s="523" t="s">
        <v>225</v>
      </c>
      <c r="O67" s="230" t="s">
        <v>135</v>
      </c>
      <c r="P67" s="230" t="s">
        <v>135</v>
      </c>
      <c r="Q67" s="230" t="s">
        <v>135</v>
      </c>
      <c r="R67" s="230" t="s">
        <v>135</v>
      </c>
      <c r="S67" s="230" t="s">
        <v>225</v>
      </c>
      <c r="T67" s="230" t="s">
        <v>135</v>
      </c>
      <c r="U67" s="230" t="s">
        <v>135</v>
      </c>
      <c r="V67" s="230" t="s">
        <v>135</v>
      </c>
      <c r="W67" s="230" t="s">
        <v>135</v>
      </c>
      <c r="X67" s="521" t="s">
        <v>225</v>
      </c>
      <c r="AF67" s="69"/>
      <c r="AG67" s="69"/>
      <c r="AH67" s="69"/>
      <c r="AI67" s="2"/>
      <c r="AJ67" s="2"/>
      <c r="AK67" s="2"/>
      <c r="AL67" s="34"/>
      <c r="AM67" s="34"/>
      <c r="AN67" s="34"/>
      <c r="AO67" s="34"/>
      <c r="AP67" s="34"/>
      <c r="AQ67" s="34"/>
      <c r="AR67" s="34"/>
      <c r="AS67" s="34"/>
      <c r="AT67" s="34"/>
      <c r="AU67" s="34"/>
      <c r="AV67" s="34"/>
    </row>
    <row r="68" spans="2:48" x14ac:dyDescent="0.35">
      <c r="B68" s="52">
        <v>2036</v>
      </c>
      <c r="D68" s="69" t="s">
        <v>225</v>
      </c>
      <c r="E68" s="34" t="s">
        <v>135</v>
      </c>
      <c r="F68" s="34" t="s">
        <v>135</v>
      </c>
      <c r="G68" s="34" t="s">
        <v>135</v>
      </c>
      <c r="H68" s="69" t="s">
        <v>225</v>
      </c>
      <c r="I68" s="34" t="s">
        <v>135</v>
      </c>
      <c r="J68" s="34" t="s">
        <v>135</v>
      </c>
      <c r="K68" s="34" t="s">
        <v>225</v>
      </c>
      <c r="L68" s="202" t="s">
        <v>3152</v>
      </c>
      <c r="M68" s="34" t="s">
        <v>135</v>
      </c>
      <c r="N68" s="69" t="s">
        <v>225</v>
      </c>
      <c r="O68" s="34" t="s">
        <v>135</v>
      </c>
      <c r="P68" s="34" t="s">
        <v>135</v>
      </c>
      <c r="Q68" s="34" t="s">
        <v>135</v>
      </c>
      <c r="R68" s="34" t="s">
        <v>135</v>
      </c>
      <c r="S68" s="34" t="s">
        <v>225</v>
      </c>
      <c r="T68" s="34" t="s">
        <v>135</v>
      </c>
      <c r="U68" s="34" t="s">
        <v>135</v>
      </c>
      <c r="V68" s="172" t="s">
        <v>135</v>
      </c>
      <c r="W68" s="172" t="s">
        <v>135</v>
      </c>
      <c r="X68" s="171" t="s">
        <v>225</v>
      </c>
      <c r="AF68" s="69"/>
      <c r="AG68" s="69"/>
      <c r="AH68" s="69"/>
      <c r="AI68" s="2"/>
      <c r="AJ68" s="2"/>
      <c r="AK68" s="2"/>
      <c r="AL68" s="34"/>
      <c r="AM68" s="34"/>
      <c r="AN68" s="34"/>
      <c r="AO68" s="34"/>
      <c r="AP68" s="34"/>
      <c r="AQ68" s="34"/>
      <c r="AR68" s="34"/>
      <c r="AS68" s="34"/>
      <c r="AT68" s="34"/>
      <c r="AU68" s="34"/>
      <c r="AV68" s="34"/>
    </row>
    <row r="69" spans="2:48" x14ac:dyDescent="0.35">
      <c r="B69" s="52">
        <v>2037</v>
      </c>
      <c r="D69" s="69" t="s">
        <v>225</v>
      </c>
      <c r="E69" s="34" t="s">
        <v>135</v>
      </c>
      <c r="F69" s="34" t="s">
        <v>135</v>
      </c>
      <c r="G69" s="34" t="s">
        <v>135</v>
      </c>
      <c r="H69" s="69" t="s">
        <v>225</v>
      </c>
      <c r="I69" s="34" t="s">
        <v>135</v>
      </c>
      <c r="J69" s="34" t="s">
        <v>135</v>
      </c>
      <c r="K69" s="34" t="s">
        <v>225</v>
      </c>
      <c r="L69" s="202" t="s">
        <v>3152</v>
      </c>
      <c r="M69" s="34" t="s">
        <v>135</v>
      </c>
      <c r="N69" s="69" t="s">
        <v>225</v>
      </c>
      <c r="O69" s="34" t="s">
        <v>135</v>
      </c>
      <c r="P69" s="34" t="s">
        <v>135</v>
      </c>
      <c r="Q69" s="34" t="s">
        <v>135</v>
      </c>
      <c r="R69" s="34" t="s">
        <v>135</v>
      </c>
      <c r="S69" s="34" t="s">
        <v>225</v>
      </c>
      <c r="T69" s="34" t="s">
        <v>135</v>
      </c>
      <c r="U69" s="34" t="s">
        <v>135</v>
      </c>
      <c r="V69" s="172" t="s">
        <v>135</v>
      </c>
      <c r="W69" s="172" t="s">
        <v>135</v>
      </c>
      <c r="X69" s="171" t="s">
        <v>225</v>
      </c>
      <c r="AF69" s="69"/>
      <c r="AG69" s="69"/>
      <c r="AH69" s="69"/>
      <c r="AI69" s="2"/>
      <c r="AJ69" s="2"/>
      <c r="AK69" s="2"/>
      <c r="AL69" s="34"/>
      <c r="AM69" s="34"/>
      <c r="AN69" s="34"/>
      <c r="AO69" s="34"/>
      <c r="AP69" s="34"/>
      <c r="AQ69" s="34"/>
      <c r="AR69" s="34"/>
      <c r="AS69" s="34"/>
      <c r="AT69" s="34"/>
      <c r="AU69" s="34"/>
      <c r="AV69" s="34"/>
    </row>
    <row r="70" spans="2:48" x14ac:dyDescent="0.35">
      <c r="B70" s="52">
        <v>2038</v>
      </c>
      <c r="D70" s="69" t="s">
        <v>225</v>
      </c>
      <c r="E70" s="34" t="s">
        <v>135</v>
      </c>
      <c r="F70" s="34" t="s">
        <v>135</v>
      </c>
      <c r="G70" s="34" t="s">
        <v>135</v>
      </c>
      <c r="H70" s="69" t="s">
        <v>225</v>
      </c>
      <c r="I70" s="34" t="s">
        <v>135</v>
      </c>
      <c r="J70" s="34" t="s">
        <v>135</v>
      </c>
      <c r="K70" s="34" t="s">
        <v>225</v>
      </c>
      <c r="L70" s="202" t="s">
        <v>3152</v>
      </c>
      <c r="M70" s="34" t="s">
        <v>135</v>
      </c>
      <c r="N70" s="69" t="s">
        <v>225</v>
      </c>
      <c r="O70" s="34" t="s">
        <v>135</v>
      </c>
      <c r="P70" s="34" t="s">
        <v>135</v>
      </c>
      <c r="Q70" s="34" t="s">
        <v>135</v>
      </c>
      <c r="R70" s="34" t="s">
        <v>135</v>
      </c>
      <c r="S70" s="34" t="s">
        <v>225</v>
      </c>
      <c r="T70" s="34" t="s">
        <v>135</v>
      </c>
      <c r="U70" s="34" t="s">
        <v>135</v>
      </c>
      <c r="V70" s="172" t="s">
        <v>135</v>
      </c>
      <c r="W70" s="172" t="s">
        <v>135</v>
      </c>
      <c r="X70" s="171" t="s">
        <v>225</v>
      </c>
      <c r="AF70" s="69"/>
      <c r="AG70" s="69"/>
      <c r="AH70" s="69"/>
      <c r="AI70" s="2"/>
      <c r="AJ70" s="2"/>
      <c r="AK70" s="2"/>
      <c r="AL70" s="34"/>
      <c r="AM70" s="34"/>
      <c r="AN70" s="34"/>
      <c r="AO70" s="34"/>
      <c r="AP70" s="34"/>
      <c r="AQ70" s="34"/>
      <c r="AR70" s="34"/>
      <c r="AS70" s="34"/>
      <c r="AT70" s="34"/>
      <c r="AU70" s="34"/>
      <c r="AV70" s="34"/>
    </row>
    <row r="71" spans="2:48" x14ac:dyDescent="0.35">
      <c r="B71" s="52">
        <v>2039</v>
      </c>
      <c r="D71" s="69" t="s">
        <v>225</v>
      </c>
      <c r="E71" s="34" t="s">
        <v>135</v>
      </c>
      <c r="F71" s="34" t="s">
        <v>135</v>
      </c>
      <c r="G71" s="34" t="s">
        <v>135</v>
      </c>
      <c r="H71" s="69" t="s">
        <v>225</v>
      </c>
      <c r="I71" s="34" t="s">
        <v>135</v>
      </c>
      <c r="J71" s="34" t="s">
        <v>135</v>
      </c>
      <c r="K71" s="34" t="s">
        <v>225</v>
      </c>
      <c r="L71" s="202" t="s">
        <v>3152</v>
      </c>
      <c r="M71" s="34" t="s">
        <v>135</v>
      </c>
      <c r="N71" s="69" t="s">
        <v>225</v>
      </c>
      <c r="O71" s="34" t="s">
        <v>135</v>
      </c>
      <c r="P71" s="34" t="s">
        <v>135</v>
      </c>
      <c r="Q71" s="34" t="s">
        <v>135</v>
      </c>
      <c r="R71" s="34" t="s">
        <v>135</v>
      </c>
      <c r="S71" s="34" t="s">
        <v>225</v>
      </c>
      <c r="T71" s="34" t="s">
        <v>135</v>
      </c>
      <c r="U71" s="34" t="s">
        <v>135</v>
      </c>
      <c r="V71" s="172" t="s">
        <v>135</v>
      </c>
      <c r="W71" s="172" t="s">
        <v>135</v>
      </c>
      <c r="X71" s="171" t="s">
        <v>225</v>
      </c>
      <c r="AF71" s="69"/>
      <c r="AG71" s="69"/>
      <c r="AH71" s="69"/>
      <c r="AI71" s="2"/>
      <c r="AJ71" s="2"/>
      <c r="AK71" s="2"/>
      <c r="AL71" s="34"/>
      <c r="AM71" s="34"/>
      <c r="AN71" s="34"/>
      <c r="AO71" s="34"/>
      <c r="AP71" s="34"/>
      <c r="AQ71" s="34"/>
      <c r="AR71" s="34"/>
      <c r="AS71" s="34"/>
      <c r="AT71" s="34"/>
      <c r="AU71" s="34"/>
      <c r="AV71" s="34"/>
    </row>
    <row r="72" spans="2:48" x14ac:dyDescent="0.35">
      <c r="B72" s="52">
        <v>2040</v>
      </c>
      <c r="D72" s="69" t="s">
        <v>225</v>
      </c>
      <c r="E72" s="34" t="s">
        <v>135</v>
      </c>
      <c r="F72" s="34" t="s">
        <v>135</v>
      </c>
      <c r="G72" s="34" t="s">
        <v>135</v>
      </c>
      <c r="H72" s="69" t="s">
        <v>225</v>
      </c>
      <c r="I72" s="34" t="s">
        <v>135</v>
      </c>
      <c r="J72" s="34" t="s">
        <v>135</v>
      </c>
      <c r="K72" s="34" t="s">
        <v>225</v>
      </c>
      <c r="L72" s="202" t="s">
        <v>3152</v>
      </c>
      <c r="M72" s="34" t="s">
        <v>135</v>
      </c>
      <c r="N72" s="69" t="s">
        <v>225</v>
      </c>
      <c r="O72" s="34" t="s">
        <v>135</v>
      </c>
      <c r="P72" s="34" t="s">
        <v>135</v>
      </c>
      <c r="Q72" s="34" t="s">
        <v>135</v>
      </c>
      <c r="R72" s="34" t="s">
        <v>135</v>
      </c>
      <c r="S72" s="34" t="s">
        <v>225</v>
      </c>
      <c r="T72" s="34" t="s">
        <v>135</v>
      </c>
      <c r="U72" s="34" t="s">
        <v>135</v>
      </c>
      <c r="V72" s="172" t="s">
        <v>135</v>
      </c>
      <c r="W72" s="172" t="s">
        <v>135</v>
      </c>
      <c r="X72" s="171" t="s">
        <v>225</v>
      </c>
      <c r="AF72" s="69"/>
      <c r="AG72" s="69"/>
      <c r="AH72" s="69"/>
      <c r="AI72" s="2"/>
      <c r="AJ72" s="2"/>
      <c r="AK72" s="2"/>
      <c r="AL72" s="34"/>
      <c r="AM72" s="34"/>
      <c r="AN72" s="34"/>
      <c r="AO72" s="34"/>
      <c r="AP72" s="34"/>
      <c r="AQ72" s="34"/>
      <c r="AR72" s="34"/>
      <c r="AS72" s="34"/>
      <c r="AT72" s="34"/>
      <c r="AU72" s="34"/>
      <c r="AV72" s="34"/>
    </row>
    <row r="73" spans="2:48" x14ac:dyDescent="0.35">
      <c r="B73" s="52">
        <v>2041</v>
      </c>
      <c r="D73" s="69" t="s">
        <v>225</v>
      </c>
      <c r="E73" s="34" t="s">
        <v>135</v>
      </c>
      <c r="F73" s="34" t="s">
        <v>135</v>
      </c>
      <c r="G73" s="34" t="s">
        <v>135</v>
      </c>
      <c r="H73" s="69" t="s">
        <v>225</v>
      </c>
      <c r="I73" s="34" t="s">
        <v>135</v>
      </c>
      <c r="J73" s="34" t="s">
        <v>135</v>
      </c>
      <c r="K73" s="34" t="s">
        <v>225</v>
      </c>
      <c r="L73" s="202" t="s">
        <v>3152</v>
      </c>
      <c r="M73" s="34" t="s">
        <v>135</v>
      </c>
      <c r="N73" s="69" t="s">
        <v>225</v>
      </c>
      <c r="O73" s="34" t="s">
        <v>135</v>
      </c>
      <c r="P73" s="34" t="s">
        <v>135</v>
      </c>
      <c r="Q73" s="34" t="s">
        <v>135</v>
      </c>
      <c r="R73" s="34" t="s">
        <v>135</v>
      </c>
      <c r="S73" s="34" t="s">
        <v>225</v>
      </c>
      <c r="T73" s="34" t="s">
        <v>135</v>
      </c>
      <c r="U73" s="34" t="s">
        <v>135</v>
      </c>
      <c r="V73" s="172" t="s">
        <v>135</v>
      </c>
      <c r="W73" s="172" t="s">
        <v>135</v>
      </c>
      <c r="X73" s="171" t="s">
        <v>225</v>
      </c>
      <c r="AF73" s="69"/>
      <c r="AG73" s="69"/>
      <c r="AH73" s="69"/>
      <c r="AI73" s="2"/>
      <c r="AJ73" s="2"/>
      <c r="AK73" s="2"/>
      <c r="AL73" s="34"/>
      <c r="AM73" s="34"/>
      <c r="AN73" s="34"/>
      <c r="AO73" s="34"/>
      <c r="AP73" s="34"/>
      <c r="AQ73" s="34"/>
      <c r="AR73" s="34"/>
      <c r="AS73" s="34"/>
      <c r="AT73" s="34"/>
      <c r="AU73" s="34"/>
      <c r="AV73" s="34"/>
    </row>
    <row r="74" spans="2:48" x14ac:dyDescent="0.35">
      <c r="B74" s="52">
        <v>2042</v>
      </c>
      <c r="D74" s="69" t="s">
        <v>225</v>
      </c>
      <c r="E74" s="34" t="s">
        <v>135</v>
      </c>
      <c r="F74" s="34" t="s">
        <v>135</v>
      </c>
      <c r="G74" s="34" t="s">
        <v>135</v>
      </c>
      <c r="H74" s="69" t="s">
        <v>225</v>
      </c>
      <c r="I74" s="34" t="s">
        <v>135</v>
      </c>
      <c r="J74" s="34" t="s">
        <v>135</v>
      </c>
      <c r="K74" s="34" t="s">
        <v>225</v>
      </c>
      <c r="L74" s="202" t="s">
        <v>3152</v>
      </c>
      <c r="M74" s="34" t="s">
        <v>135</v>
      </c>
      <c r="N74" s="69" t="s">
        <v>225</v>
      </c>
      <c r="O74" s="34" t="s">
        <v>135</v>
      </c>
      <c r="P74" s="34" t="s">
        <v>135</v>
      </c>
      <c r="Q74" s="34" t="s">
        <v>135</v>
      </c>
      <c r="R74" s="34" t="s">
        <v>135</v>
      </c>
      <c r="S74" s="34" t="s">
        <v>225</v>
      </c>
      <c r="T74" s="34" t="s">
        <v>135</v>
      </c>
      <c r="U74" s="34" t="s">
        <v>135</v>
      </c>
      <c r="V74" s="172" t="s">
        <v>135</v>
      </c>
      <c r="W74" s="172" t="s">
        <v>135</v>
      </c>
      <c r="X74" s="171" t="s">
        <v>225</v>
      </c>
      <c r="AF74" s="69"/>
      <c r="AG74" s="69"/>
      <c r="AH74" s="69"/>
      <c r="AI74" s="2"/>
      <c r="AJ74" s="2"/>
      <c r="AK74" s="2"/>
      <c r="AL74" s="34"/>
      <c r="AM74" s="34"/>
      <c r="AN74" s="34"/>
      <c r="AO74" s="34"/>
      <c r="AP74" s="34"/>
      <c r="AQ74" s="34"/>
      <c r="AR74" s="34"/>
      <c r="AS74" s="34"/>
      <c r="AT74" s="34"/>
      <c r="AU74" s="34"/>
      <c r="AV74" s="34"/>
    </row>
    <row r="75" spans="2:48" x14ac:dyDescent="0.35">
      <c r="B75" s="52">
        <v>2043</v>
      </c>
      <c r="D75" s="69" t="s">
        <v>225</v>
      </c>
      <c r="E75" s="34" t="s">
        <v>135</v>
      </c>
      <c r="F75" s="34" t="s">
        <v>135</v>
      </c>
      <c r="G75" s="34" t="s">
        <v>135</v>
      </c>
      <c r="H75" s="69" t="s">
        <v>225</v>
      </c>
      <c r="I75" s="34" t="s">
        <v>135</v>
      </c>
      <c r="J75" s="34" t="s">
        <v>135</v>
      </c>
      <c r="K75" s="34" t="s">
        <v>225</v>
      </c>
      <c r="L75" s="202" t="s">
        <v>3152</v>
      </c>
      <c r="M75" s="34" t="s">
        <v>135</v>
      </c>
      <c r="N75" s="69" t="s">
        <v>225</v>
      </c>
      <c r="O75" s="34" t="s">
        <v>135</v>
      </c>
      <c r="P75" s="34" t="s">
        <v>135</v>
      </c>
      <c r="Q75" s="34" t="s">
        <v>135</v>
      </c>
      <c r="R75" s="34" t="s">
        <v>135</v>
      </c>
      <c r="S75" s="34" t="s">
        <v>225</v>
      </c>
      <c r="T75" s="34" t="s">
        <v>135</v>
      </c>
      <c r="U75" s="34" t="s">
        <v>135</v>
      </c>
      <c r="V75" s="172" t="s">
        <v>135</v>
      </c>
      <c r="W75" s="172" t="s">
        <v>135</v>
      </c>
      <c r="X75" s="171" t="s">
        <v>225</v>
      </c>
      <c r="AF75" s="69"/>
      <c r="AG75" s="69"/>
      <c r="AH75" s="69"/>
      <c r="AI75" s="2"/>
      <c r="AJ75" s="2"/>
      <c r="AK75" s="2"/>
      <c r="AL75" s="34"/>
      <c r="AM75" s="34"/>
      <c r="AN75" s="34"/>
      <c r="AO75" s="34"/>
      <c r="AP75" s="34"/>
      <c r="AQ75" s="34"/>
      <c r="AR75" s="34"/>
      <c r="AS75" s="34"/>
      <c r="AT75" s="34"/>
      <c r="AU75" s="34"/>
      <c r="AV75" s="34"/>
    </row>
    <row r="76" spans="2:48" x14ac:dyDescent="0.35">
      <c r="B76" s="52">
        <v>2044</v>
      </c>
      <c r="D76" s="69" t="s">
        <v>225</v>
      </c>
      <c r="E76" s="34" t="s">
        <v>135</v>
      </c>
      <c r="F76" s="34" t="s">
        <v>135</v>
      </c>
      <c r="G76" s="34" t="s">
        <v>135</v>
      </c>
      <c r="H76" s="69" t="s">
        <v>225</v>
      </c>
      <c r="I76" s="34" t="s">
        <v>135</v>
      </c>
      <c r="J76" s="34" t="s">
        <v>135</v>
      </c>
      <c r="K76" s="34" t="s">
        <v>225</v>
      </c>
      <c r="L76" s="202" t="s">
        <v>3152</v>
      </c>
      <c r="M76" s="34" t="s">
        <v>135</v>
      </c>
      <c r="N76" s="69" t="s">
        <v>225</v>
      </c>
      <c r="O76" s="34" t="s">
        <v>135</v>
      </c>
      <c r="P76" s="34" t="s">
        <v>135</v>
      </c>
      <c r="Q76" s="34" t="s">
        <v>135</v>
      </c>
      <c r="R76" s="34" t="s">
        <v>135</v>
      </c>
      <c r="S76" s="34" t="s">
        <v>225</v>
      </c>
      <c r="T76" s="34" t="s">
        <v>135</v>
      </c>
      <c r="U76" s="34" t="s">
        <v>135</v>
      </c>
      <c r="V76" s="172" t="s">
        <v>135</v>
      </c>
      <c r="W76" s="172" t="s">
        <v>135</v>
      </c>
      <c r="X76" s="171" t="s">
        <v>225</v>
      </c>
      <c r="AF76" s="69"/>
      <c r="AG76" s="69"/>
      <c r="AH76" s="69"/>
      <c r="AI76" s="2"/>
      <c r="AJ76" s="2"/>
      <c r="AK76" s="2"/>
      <c r="AL76" s="34"/>
      <c r="AM76" s="34"/>
      <c r="AN76" s="34"/>
      <c r="AO76" s="34"/>
      <c r="AP76" s="34"/>
      <c r="AQ76" s="34"/>
      <c r="AR76" s="34"/>
      <c r="AS76" s="34"/>
      <c r="AT76" s="34"/>
      <c r="AU76" s="34"/>
      <c r="AV76" s="34"/>
    </row>
    <row r="77" spans="2:48" ht="15" thickBot="1" x14ac:dyDescent="0.4">
      <c r="B77" s="174">
        <v>2045</v>
      </c>
      <c r="C77" s="175" t="s">
        <v>548</v>
      </c>
      <c r="D77" s="151" t="s">
        <v>225</v>
      </c>
      <c r="E77" s="135" t="s">
        <v>135</v>
      </c>
      <c r="F77" s="135" t="s">
        <v>135</v>
      </c>
      <c r="G77" s="135" t="s">
        <v>135</v>
      </c>
      <c r="H77" s="151" t="s">
        <v>225</v>
      </c>
      <c r="I77" s="135" t="s">
        <v>135</v>
      </c>
      <c r="J77" s="135" t="s">
        <v>135</v>
      </c>
      <c r="K77" s="135" t="s">
        <v>225</v>
      </c>
      <c r="L77" s="202" t="s">
        <v>3152</v>
      </c>
      <c r="M77" s="135" t="s">
        <v>135</v>
      </c>
      <c r="N77" s="151" t="s">
        <v>225</v>
      </c>
      <c r="O77" s="135" t="s">
        <v>135</v>
      </c>
      <c r="P77" s="135" t="s">
        <v>135</v>
      </c>
      <c r="Q77" s="135" t="s">
        <v>135</v>
      </c>
      <c r="R77" s="135" t="s">
        <v>135</v>
      </c>
      <c r="S77" s="135" t="s">
        <v>225</v>
      </c>
      <c r="T77" s="135" t="s">
        <v>135</v>
      </c>
      <c r="U77" s="135" t="s">
        <v>135</v>
      </c>
      <c r="V77" s="135" t="s">
        <v>135</v>
      </c>
      <c r="W77" s="135" t="s">
        <v>135</v>
      </c>
      <c r="X77" s="136" t="s">
        <v>225</v>
      </c>
      <c r="AE77" s="2"/>
      <c r="AF77" s="69"/>
      <c r="AG77" s="69"/>
      <c r="AH77" s="69"/>
      <c r="AI77" s="2"/>
      <c r="AJ77" s="2"/>
      <c r="AK77" s="2"/>
      <c r="AL77" s="34"/>
      <c r="AM77" s="34"/>
      <c r="AN77" s="34"/>
      <c r="AO77" s="34"/>
      <c r="AP77" s="34"/>
      <c r="AQ77" s="34"/>
      <c r="AR77" s="34"/>
      <c r="AS77" s="34"/>
      <c r="AT77" s="34"/>
      <c r="AU77" s="34"/>
      <c r="AV77" s="34"/>
    </row>
    <row r="78" spans="2:48" ht="15" thickTop="1" x14ac:dyDescent="0.35"/>
    <row r="80" spans="2:48" x14ac:dyDescent="0.35">
      <c r="B80" t="s">
        <v>228</v>
      </c>
    </row>
    <row r="81" spans="2:4" x14ac:dyDescent="0.35">
      <c r="B81" s="14" t="s">
        <v>229</v>
      </c>
    </row>
    <row r="82" spans="2:4" x14ac:dyDescent="0.35">
      <c r="B82" s="14" t="s">
        <v>232</v>
      </c>
    </row>
    <row r="83" spans="2:4" x14ac:dyDescent="0.35">
      <c r="B83" t="s">
        <v>322</v>
      </c>
    </row>
    <row r="84" spans="2:4" x14ac:dyDescent="0.35">
      <c r="B84" s="40" t="s">
        <v>151</v>
      </c>
    </row>
    <row r="85" spans="2:4" x14ac:dyDescent="0.35">
      <c r="B85" s="51" t="s">
        <v>152</v>
      </c>
    </row>
    <row r="86" spans="2:4" x14ac:dyDescent="0.35">
      <c r="B86" s="8" t="s">
        <v>221</v>
      </c>
    </row>
    <row r="87" spans="2:4" x14ac:dyDescent="0.35">
      <c r="B87" t="s">
        <v>1</v>
      </c>
      <c r="C87" t="s">
        <v>0</v>
      </c>
    </row>
    <row r="88" spans="2:4" x14ac:dyDescent="0.35">
      <c r="B88" s="3" t="str">
        <f>D9</f>
        <v>-</v>
      </c>
      <c r="C88" s="2" t="e">
        <f>D7*(1+D9)^(B8-B7)</f>
        <v>#VALUE!</v>
      </c>
      <c r="D88" s="2"/>
    </row>
    <row r="89" spans="2:4" x14ac:dyDescent="0.35">
      <c r="B89" s="3" t="s">
        <v>2</v>
      </c>
      <c r="C89" t="s">
        <v>4</v>
      </c>
    </row>
    <row r="90" spans="2:4" x14ac:dyDescent="0.35">
      <c r="B90" s="5" t="e">
        <f>1*(1+D9)^C90</f>
        <v>#VALUE!</v>
      </c>
      <c r="C90">
        <v>2</v>
      </c>
    </row>
    <row r="91" spans="2:4" x14ac:dyDescent="0.35">
      <c r="B91" s="3"/>
    </row>
    <row r="92" spans="2:4" x14ac:dyDescent="0.35">
      <c r="B92" s="3" t="s">
        <v>3</v>
      </c>
      <c r="C92" t="s">
        <v>4</v>
      </c>
    </row>
    <row r="93" spans="2:4" x14ac:dyDescent="0.35">
      <c r="B93" s="3" t="e">
        <f>1*(1+D9)^C93</f>
        <v>#VALUE!</v>
      </c>
      <c r="C93">
        <v>10</v>
      </c>
    </row>
    <row r="94" spans="2:4" x14ac:dyDescent="0.35">
      <c r="B94" s="3"/>
    </row>
    <row r="95" spans="2:4" x14ac:dyDescent="0.35">
      <c r="B95" s="3" t="s">
        <v>6</v>
      </c>
      <c r="C95" t="s">
        <v>4</v>
      </c>
    </row>
    <row r="96" spans="2:4" x14ac:dyDescent="0.35">
      <c r="B96" s="24" t="e">
        <f>1*(1+D9)^C96</f>
        <v>#VALUE!</v>
      </c>
      <c r="C96">
        <v>20</v>
      </c>
    </row>
    <row r="98" spans="4:4" x14ac:dyDescent="0.35">
      <c r="D98" s="14"/>
    </row>
  </sheetData>
  <phoneticPr fontId="4" type="noConversion"/>
  <hyperlinks>
    <hyperlink ref="B81" r:id="rId1" xr:uid="{4B50199B-CD9A-4350-B7A5-BC816B19FB51}"/>
    <hyperlink ref="AC2" r:id="rId2" xr:uid="{64BA79FF-00EB-4A20-B2F5-3CDD29384EBE}"/>
    <hyperlink ref="B82" r:id="rId3" xr:uid="{66BB1AB4-1C19-4691-97FE-86FF67C924A0}"/>
    <hyperlink ref="B84" r:id="rId4" xr:uid="{65EAA2B8-D774-4137-A8B3-C01421C3E91A}"/>
    <hyperlink ref="D47" r:id="rId5" xr:uid="{AA5DE023-9525-441B-8E82-4D7440ADE4A3}"/>
    <hyperlink ref="R40" r:id="rId6" xr:uid="{63D40379-869A-4FA4-BAF9-52583E981C4A}"/>
    <hyperlink ref="S4" r:id="rId7" xr:uid="{A3548376-7570-42FE-AE7D-BFAB93F84740}"/>
    <hyperlink ref="R43" r:id="rId8" xr:uid="{DB28DBF2-610E-462E-91BF-B73FF2029505}"/>
  </hyperlinks>
  <pageMargins left="0.7" right="0.7" top="0.75" bottom="0.75" header="0.3" footer="0.3"/>
  <pageSetup paperSize="9" orientation="portrait" verticalDpi="0"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043DA-EF93-4B85-B483-CD19234A5B02}">
  <dimension ref="A1:DK75"/>
  <sheetViews>
    <sheetView zoomScaleNormal="100" workbookViewId="0">
      <pane xSplit="7" ySplit="14" topLeftCell="H15" activePane="bottomRight" state="frozen"/>
      <selection pane="topRight" activeCell="H1" sqref="H1"/>
      <selection pane="bottomLeft" activeCell="A15" sqref="A15"/>
      <selection pane="bottomRight" activeCell="G14" sqref="G14"/>
    </sheetView>
  </sheetViews>
  <sheetFormatPr defaultRowHeight="14.5" x14ac:dyDescent="0.35"/>
  <cols>
    <col min="1" max="1" width="4.1796875" customWidth="1"/>
    <col min="2" max="2" width="6.08984375" customWidth="1"/>
    <col min="3" max="3" width="12.36328125" customWidth="1"/>
    <col min="4" max="4" width="9.36328125" customWidth="1"/>
    <col min="5" max="5" width="12.36328125" customWidth="1"/>
    <col min="6" max="6" width="10.90625" customWidth="1"/>
    <col min="7" max="8" width="9.453125" customWidth="1"/>
    <col min="9" max="9" width="12.54296875" customWidth="1"/>
    <col min="10" max="10" width="11.08984375" customWidth="1"/>
    <col min="11" max="12" width="11.81640625" customWidth="1"/>
    <col min="13" max="14" width="14.81640625" customWidth="1"/>
    <col min="15" max="15" width="13.08984375" customWidth="1"/>
    <col min="16" max="16" width="9.1796875" customWidth="1"/>
    <col min="17" max="17" width="14" customWidth="1"/>
    <col min="18" max="18" width="13.81640625" customWidth="1"/>
    <col min="19" max="19" width="15.453125" customWidth="1"/>
    <col min="20" max="20" width="14.6328125" customWidth="1"/>
    <col min="21" max="21" width="10.54296875" customWidth="1"/>
    <col min="22" max="22" width="14.26953125" customWidth="1"/>
    <col min="23" max="23" width="15.36328125" customWidth="1"/>
    <col min="24" max="24" width="10.6328125" customWidth="1"/>
    <col min="25" max="25" width="15.54296875" customWidth="1"/>
    <col min="26" max="26" width="14.7265625" customWidth="1"/>
    <col min="27" max="27" width="17.26953125" customWidth="1"/>
    <col min="28" max="28" width="12.08984375" customWidth="1"/>
    <col min="29" max="29" width="11.54296875" customWidth="1"/>
    <col min="30" max="31" width="11.6328125" customWidth="1"/>
    <col min="32" max="32" width="11.1796875" customWidth="1"/>
    <col min="33" max="33" width="12" customWidth="1"/>
    <col min="34" max="34" width="13.1796875" customWidth="1"/>
    <col min="35" max="36" width="15.7265625" customWidth="1"/>
    <col min="37" max="37" width="15.453125" customWidth="1"/>
    <col min="38" max="39" width="15.6328125" customWidth="1"/>
    <col min="40" max="40" width="18.36328125" customWidth="1"/>
    <col min="41" max="42" width="15.6328125" customWidth="1"/>
    <col min="43" max="43" width="16.36328125" customWidth="1"/>
    <col min="44" max="45" width="9.81640625" customWidth="1"/>
    <col min="46" max="46" width="9.7265625" customWidth="1"/>
    <col min="47" max="51" width="10.08984375" customWidth="1"/>
    <col min="52" max="52" width="11.08984375" customWidth="1"/>
    <col min="53" max="53" width="10.08984375" customWidth="1"/>
    <col min="54" max="54" width="14.54296875" customWidth="1"/>
    <col min="55" max="68" width="10.08984375" customWidth="1"/>
    <col min="69" max="69" width="11.453125" customWidth="1"/>
    <col min="70" max="72" width="10.1796875" customWidth="1"/>
    <col min="73" max="73" width="12.08984375" customWidth="1"/>
    <col min="74" max="74" width="10.7265625" customWidth="1"/>
    <col min="75" max="75" width="12.08984375" customWidth="1"/>
    <col min="76" max="76" width="11.1796875" customWidth="1"/>
    <col min="77" max="77" width="10.1796875" customWidth="1"/>
    <col min="78" max="78" width="10.90625" customWidth="1"/>
    <col min="79" max="92" width="10.08984375" customWidth="1"/>
    <col min="93" max="94" width="14.90625" customWidth="1"/>
    <col min="95" max="99" width="10.08984375" customWidth="1"/>
    <col min="100" max="100" width="6.36328125" customWidth="1"/>
    <col min="101" max="101" width="23.54296875" customWidth="1"/>
    <col min="102" max="102" width="6.26953125" customWidth="1"/>
    <col min="103" max="103" width="6.08984375" customWidth="1"/>
    <col min="104" max="104" width="4.6328125" customWidth="1"/>
    <col min="105" max="105" width="10.81640625" customWidth="1"/>
    <col min="106" max="106" width="8.26953125" customWidth="1"/>
    <col min="107" max="107" width="7" customWidth="1"/>
    <col min="108" max="108" width="12.1796875" customWidth="1"/>
    <col min="109" max="109" width="8.90625" customWidth="1"/>
    <col min="110" max="110" width="10.36328125" customWidth="1"/>
    <col min="111" max="111" width="15.26953125" customWidth="1"/>
    <col min="112" max="115" width="15.1796875" customWidth="1"/>
  </cols>
  <sheetData>
    <row r="1" spans="1:108" ht="28.5" x14ac:dyDescent="0.65">
      <c r="A1" s="9" t="str">
        <f>AI_Models!A1</f>
        <v>Path towards AGI &amp; artificial humans - How close are AIs and robotics from being able to do any work that humans can do? #74/101</v>
      </c>
      <c r="Z1" s="581">
        <v>2029</v>
      </c>
      <c r="AA1" t="s">
        <v>2643</v>
      </c>
      <c r="AB1" s="24"/>
      <c r="DA1" t="s">
        <v>45</v>
      </c>
    </row>
    <row r="2" spans="1:108" ht="15.5" x14ac:dyDescent="0.35">
      <c r="A2" s="10" t="str">
        <f>KeyChips!A2</f>
        <v>Proprietary. © H. Mathiesen. This material can be used by others free of charge provided that the author H. Mathiesen is attributed and a clickable link is made visible to the location of used material on www.hmexperience.dk</v>
      </c>
      <c r="U2" s="185"/>
      <c r="V2" s="185"/>
      <c r="W2" s="185"/>
      <c r="X2" s="185"/>
      <c r="Z2" s="581">
        <v>2035</v>
      </c>
      <c r="AA2" s="4" t="s">
        <v>2644</v>
      </c>
      <c r="AB2" s="24"/>
      <c r="CW2" s="2">
        <v>1000</v>
      </c>
      <c r="CX2" t="s">
        <v>393</v>
      </c>
      <c r="CY2" t="s">
        <v>392</v>
      </c>
      <c r="CZ2" s="14" t="s">
        <v>126</v>
      </c>
    </row>
    <row r="3" spans="1:108" ht="15.5" x14ac:dyDescent="0.35">
      <c r="A3" s="414" t="str">
        <f>AI_Models!A3</f>
        <v>Links to all sources are available in sources table below</v>
      </c>
      <c r="B3" s="415"/>
      <c r="C3" s="415"/>
      <c r="D3" s="415"/>
      <c r="E3" s="415"/>
      <c r="F3" s="415"/>
      <c r="U3" s="185"/>
      <c r="V3" s="185"/>
      <c r="W3" s="185"/>
      <c r="X3" s="185"/>
      <c r="Z3" s="581">
        <v>2045</v>
      </c>
      <c r="AA3" t="s">
        <v>2645</v>
      </c>
      <c r="AB3" s="24"/>
      <c r="CW3" s="2">
        <v>1000000</v>
      </c>
      <c r="CX3" t="s">
        <v>318</v>
      </c>
      <c r="CY3" t="s">
        <v>371</v>
      </c>
    </row>
    <row r="4" spans="1:108" ht="24" thickBot="1" x14ac:dyDescent="0.6">
      <c r="B4" s="30" t="s">
        <v>2656</v>
      </c>
      <c r="C4" s="31"/>
      <c r="D4" s="31"/>
      <c r="E4" s="31"/>
      <c r="F4" s="31"/>
      <c r="G4" s="31"/>
      <c r="H4" s="31"/>
      <c r="I4" s="31"/>
      <c r="J4" s="31"/>
      <c r="K4" s="31"/>
      <c r="L4" s="31"/>
      <c r="M4" s="31"/>
      <c r="N4" s="31"/>
      <c r="O4" s="31"/>
      <c r="P4" s="31"/>
      <c r="Q4" s="31"/>
      <c r="R4" s="31"/>
      <c r="S4" s="31"/>
      <c r="T4" s="31"/>
      <c r="U4" s="31"/>
      <c r="V4" s="31"/>
      <c r="W4" s="31"/>
      <c r="X4" s="31"/>
      <c r="Y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8" t="s">
        <v>32</v>
      </c>
      <c r="CW4" s="2">
        <v>1000000000</v>
      </c>
      <c r="CX4" t="s">
        <v>231</v>
      </c>
      <c r="CY4" t="s">
        <v>230</v>
      </c>
      <c r="DA4" t="s">
        <v>2562</v>
      </c>
      <c r="DB4" s="2">
        <v>28000</v>
      </c>
      <c r="DC4" s="14" t="s">
        <v>2561</v>
      </c>
      <c r="DD4" t="s">
        <v>45</v>
      </c>
    </row>
    <row r="5" spans="1:108" ht="15" thickTop="1" x14ac:dyDescent="0.35">
      <c r="B5" s="76" t="s">
        <v>7</v>
      </c>
      <c r="C5" s="77" t="s">
        <v>448</v>
      </c>
      <c r="D5" s="77" t="s">
        <v>1062</v>
      </c>
      <c r="E5" s="77" t="s">
        <v>925</v>
      </c>
      <c r="F5" s="77" t="s">
        <v>549</v>
      </c>
      <c r="G5" s="77" t="s">
        <v>2593</v>
      </c>
      <c r="H5" s="77" t="s">
        <v>2593</v>
      </c>
      <c r="I5" s="77" t="s">
        <v>943</v>
      </c>
      <c r="J5" s="77" t="s">
        <v>863</v>
      </c>
      <c r="K5" s="77" t="s">
        <v>914</v>
      </c>
      <c r="L5" s="77" t="s">
        <v>914</v>
      </c>
      <c r="M5" s="77" t="s">
        <v>496</v>
      </c>
      <c r="N5" s="77" t="s">
        <v>496</v>
      </c>
      <c r="O5" s="77" t="s">
        <v>383</v>
      </c>
      <c r="P5" s="77" t="s">
        <v>2925</v>
      </c>
      <c r="Q5" s="77" t="s">
        <v>544</v>
      </c>
      <c r="R5" s="77" t="s">
        <v>545</v>
      </c>
      <c r="S5" s="77" t="s">
        <v>547</v>
      </c>
      <c r="T5" s="77" t="s">
        <v>547</v>
      </c>
      <c r="U5" s="77" t="s">
        <v>2602</v>
      </c>
      <c r="V5" s="77" t="s">
        <v>2605</v>
      </c>
      <c r="W5" s="77" t="s">
        <v>3046</v>
      </c>
      <c r="X5" s="77" t="s">
        <v>521</v>
      </c>
      <c r="Y5" s="77" t="s">
        <v>3046</v>
      </c>
      <c r="Z5" s="168" t="s">
        <v>2598</v>
      </c>
      <c r="AA5" s="168" t="s">
        <v>2621</v>
      </c>
      <c r="AB5" s="168" t="s">
        <v>2612</v>
      </c>
      <c r="AC5" s="168" t="s">
        <v>2608</v>
      </c>
      <c r="AD5" s="19" t="s">
        <v>2612</v>
      </c>
      <c r="AE5" s="19" t="s">
        <v>2930</v>
      </c>
      <c r="AF5" s="168" t="s">
        <v>2608</v>
      </c>
      <c r="AG5" s="19" t="s">
        <v>2930</v>
      </c>
      <c r="AH5" s="168" t="s">
        <v>2612</v>
      </c>
      <c r="AI5" s="19" t="s">
        <v>2600</v>
      </c>
      <c r="AJ5" s="19" t="s">
        <v>2600</v>
      </c>
      <c r="AK5" s="168" t="s">
        <v>2571</v>
      </c>
      <c r="AL5" s="19" t="s">
        <v>2592</v>
      </c>
      <c r="AM5" s="19" t="s">
        <v>2592</v>
      </c>
      <c r="AN5" s="168" t="s">
        <v>2632</v>
      </c>
      <c r="AO5" s="19" t="s">
        <v>2633</v>
      </c>
      <c r="AP5" s="19" t="s">
        <v>2988</v>
      </c>
      <c r="AQ5" s="168" t="s">
        <v>2584</v>
      </c>
      <c r="AR5" s="76" t="s">
        <v>2275</v>
      </c>
      <c r="AS5" s="77" t="s">
        <v>2629</v>
      </c>
      <c r="AT5" s="77" t="s">
        <v>2278</v>
      </c>
      <c r="AU5" s="168" t="s">
        <v>2641</v>
      </c>
      <c r="AV5" s="168" t="s">
        <v>2743</v>
      </c>
      <c r="AW5" s="77" t="s">
        <v>2368</v>
      </c>
      <c r="AX5" s="168" t="s">
        <v>2844</v>
      </c>
      <c r="AY5" s="168" t="s">
        <v>2846</v>
      </c>
      <c r="AZ5" s="77" t="s">
        <v>2363</v>
      </c>
      <c r="BA5" s="77" t="s">
        <v>2364</v>
      </c>
      <c r="BB5" s="77" t="s">
        <v>2638</v>
      </c>
      <c r="BC5" s="77" t="s">
        <v>2367</v>
      </c>
      <c r="BD5" s="77" t="s">
        <v>2372</v>
      </c>
      <c r="BE5" s="77" t="s">
        <v>2526</v>
      </c>
      <c r="BF5" s="77" t="s">
        <v>2530</v>
      </c>
      <c r="BG5" s="168" t="s">
        <v>2534</v>
      </c>
      <c r="BH5" s="168" t="s">
        <v>2533</v>
      </c>
      <c r="BI5" s="77" t="s">
        <v>2375</v>
      </c>
      <c r="BJ5" s="77" t="s">
        <v>2376</v>
      </c>
      <c r="BK5" s="77" t="s">
        <v>2697</v>
      </c>
      <c r="BL5" s="168" t="s">
        <v>2921</v>
      </c>
      <c r="BM5" s="77" t="s">
        <v>2698</v>
      </c>
      <c r="BN5" s="77" t="s">
        <v>2699</v>
      </c>
      <c r="BO5" s="168" t="s">
        <v>2728</v>
      </c>
      <c r="BP5" s="168" t="s">
        <v>2733</v>
      </c>
      <c r="BQ5" s="168" t="s">
        <v>2746</v>
      </c>
      <c r="BR5" s="168" t="s">
        <v>2755</v>
      </c>
      <c r="BS5" s="168" t="s">
        <v>2760</v>
      </c>
      <c r="BT5" s="168" t="s">
        <v>2761</v>
      </c>
      <c r="BU5" s="168" t="s">
        <v>2762</v>
      </c>
      <c r="BV5" s="168" t="s">
        <v>2763</v>
      </c>
      <c r="BW5" s="168" t="s">
        <v>2764</v>
      </c>
      <c r="BX5" s="168" t="s">
        <v>2747</v>
      </c>
      <c r="BY5" s="168" t="s">
        <v>2748</v>
      </c>
      <c r="BZ5" s="168" t="s">
        <v>2749</v>
      </c>
      <c r="CA5" s="77" t="s">
        <v>2661</v>
      </c>
      <c r="CB5" s="77" t="s">
        <v>2662</v>
      </c>
      <c r="CC5" s="77" t="s">
        <v>2664</v>
      </c>
      <c r="CD5" s="77" t="s">
        <v>2665</v>
      </c>
      <c r="CE5" s="77" t="s">
        <v>2658</v>
      </c>
      <c r="CF5" s="77" t="s">
        <v>2659</v>
      </c>
      <c r="CG5" s="77" t="s">
        <v>2646</v>
      </c>
      <c r="CH5" s="77" t="s">
        <v>2663</v>
      </c>
      <c r="CI5" s="77" t="s">
        <v>3070</v>
      </c>
      <c r="CJ5" s="77" t="s">
        <v>3072</v>
      </c>
      <c r="CK5" s="77" t="s">
        <v>2677</v>
      </c>
      <c r="CL5" s="77" t="s">
        <v>2678</v>
      </c>
      <c r="CM5" s="77" t="s">
        <v>2712</v>
      </c>
      <c r="CN5" s="77" t="s">
        <v>2726</v>
      </c>
      <c r="CO5" s="77" t="s">
        <v>2688</v>
      </c>
      <c r="CP5" s="168" t="s">
        <v>2690</v>
      </c>
      <c r="CQ5" s="77" t="s">
        <v>2650</v>
      </c>
      <c r="CR5" s="77" t="s">
        <v>2651</v>
      </c>
      <c r="CS5" s="77" t="s">
        <v>2654</v>
      </c>
      <c r="CT5" s="77" t="s">
        <v>2917</v>
      </c>
      <c r="CU5" s="78"/>
      <c r="CW5" s="2">
        <v>1000000000000</v>
      </c>
      <c r="CX5" t="s">
        <v>127</v>
      </c>
      <c r="CY5" t="s">
        <v>124</v>
      </c>
      <c r="DA5" t="s">
        <v>2566</v>
      </c>
      <c r="DB5" s="2">
        <v>18700</v>
      </c>
      <c r="DC5" t="s">
        <v>2565</v>
      </c>
      <c r="DD5" t="s">
        <v>45</v>
      </c>
    </row>
    <row r="6" spans="1:108" x14ac:dyDescent="0.35">
      <c r="B6" s="192"/>
      <c r="C6" s="120" t="s">
        <v>2559</v>
      </c>
      <c r="D6" s="120" t="s">
        <v>865</v>
      </c>
      <c r="E6" s="120" t="s">
        <v>917</v>
      </c>
      <c r="F6" s="120" t="s">
        <v>550</v>
      </c>
      <c r="G6" s="120" t="s">
        <v>447</v>
      </c>
      <c r="H6" s="120" t="s">
        <v>447</v>
      </c>
      <c r="I6" s="122" t="s">
        <v>384</v>
      </c>
      <c r="J6" s="121" t="s">
        <v>864</v>
      </c>
      <c r="K6" s="121" t="s">
        <v>497</v>
      </c>
      <c r="L6" s="121" t="s">
        <v>497</v>
      </c>
      <c r="M6" s="121" t="s">
        <v>920</v>
      </c>
      <c r="N6" s="121" t="s">
        <v>920</v>
      </c>
      <c r="O6" s="122" t="s">
        <v>384</v>
      </c>
      <c r="P6" s="142" t="s">
        <v>918</v>
      </c>
      <c r="Q6" s="121" t="s">
        <v>543</v>
      </c>
      <c r="R6" s="121" t="s">
        <v>920</v>
      </c>
      <c r="S6" s="122" t="s">
        <v>870</v>
      </c>
      <c r="T6" s="142" t="s">
        <v>871</v>
      </c>
      <c r="U6" s="122" t="s">
        <v>2601</v>
      </c>
      <c r="V6" s="122" t="s">
        <v>2604</v>
      </c>
      <c r="W6" s="122" t="s">
        <v>3045</v>
      </c>
      <c r="X6" s="122" t="s">
        <v>2601</v>
      </c>
      <c r="Y6" s="122" t="s">
        <v>3047</v>
      </c>
      <c r="Z6" s="180" t="s">
        <v>2615</v>
      </c>
      <c r="AA6" s="180" t="s">
        <v>2613</v>
      </c>
      <c r="AB6" s="180" t="s">
        <v>2609</v>
      </c>
      <c r="AC6" s="180" t="s">
        <v>2609</v>
      </c>
      <c r="AD6" s="656" t="s">
        <v>2620</v>
      </c>
      <c r="AE6" s="656" t="s">
        <v>2931</v>
      </c>
      <c r="AF6" s="180" t="s">
        <v>2619</v>
      </c>
      <c r="AG6" s="656" t="s">
        <v>2931</v>
      </c>
      <c r="AH6" s="180" t="s">
        <v>2934</v>
      </c>
      <c r="AI6" s="656" t="s">
        <v>2575</v>
      </c>
      <c r="AJ6" s="656" t="s">
        <v>2575</v>
      </c>
      <c r="AK6" s="180" t="s">
        <v>2575</v>
      </c>
      <c r="AL6" s="656" t="s">
        <v>2575</v>
      </c>
      <c r="AM6" s="656" t="s">
        <v>2575</v>
      </c>
      <c r="AN6" s="180" t="s">
        <v>2631</v>
      </c>
      <c r="AO6" s="656" t="s">
        <v>2634</v>
      </c>
      <c r="AP6" s="656" t="s">
        <v>2989</v>
      </c>
      <c r="AQ6" s="180" t="s">
        <v>2585</v>
      </c>
      <c r="AR6" s="944" t="s">
        <v>2276</v>
      </c>
      <c r="AS6" s="120" t="s">
        <v>2276</v>
      </c>
      <c r="AT6" s="120" t="s">
        <v>2276</v>
      </c>
      <c r="AU6" s="120" t="s">
        <v>2276</v>
      </c>
      <c r="AV6" s="120" t="s">
        <v>2276</v>
      </c>
      <c r="AW6" s="120" t="s">
        <v>2276</v>
      </c>
      <c r="AX6" s="120" t="s">
        <v>2276</v>
      </c>
      <c r="AY6" s="120" t="s">
        <v>2276</v>
      </c>
      <c r="AZ6" s="120" t="s">
        <v>2276</v>
      </c>
      <c r="BA6" s="120" t="s">
        <v>2276</v>
      </c>
      <c r="BB6" s="120" t="s">
        <v>2276</v>
      </c>
      <c r="BC6" s="120" t="s">
        <v>2276</v>
      </c>
      <c r="BD6" s="120" t="s">
        <v>2374</v>
      </c>
      <c r="BE6" s="120" t="s">
        <v>2276</v>
      </c>
      <c r="BF6" s="120" t="s">
        <v>2276</v>
      </c>
      <c r="BG6" s="120" t="s">
        <v>2276</v>
      </c>
      <c r="BH6" s="120" t="s">
        <v>2276</v>
      </c>
      <c r="BI6" s="120" t="s">
        <v>2377</v>
      </c>
      <c r="BJ6" s="120" t="s">
        <v>2377</v>
      </c>
      <c r="BK6" s="120" t="s">
        <v>2377</v>
      </c>
      <c r="BL6" s="120" t="s">
        <v>2276</v>
      </c>
      <c r="BM6" s="120" t="s">
        <v>2276</v>
      </c>
      <c r="BN6" s="120" t="s">
        <v>2276</v>
      </c>
      <c r="BO6" s="120" t="s">
        <v>2276</v>
      </c>
      <c r="BP6" s="120" t="s">
        <v>2276</v>
      </c>
      <c r="BQ6" s="120" t="s">
        <v>2276</v>
      </c>
      <c r="BR6" s="120" t="s">
        <v>2276</v>
      </c>
      <c r="BS6" s="120" t="s">
        <v>2276</v>
      </c>
      <c r="BT6" s="120" t="s">
        <v>2276</v>
      </c>
      <c r="BU6" s="120" t="s">
        <v>2276</v>
      </c>
      <c r="BV6" s="120" t="s">
        <v>2276</v>
      </c>
      <c r="BW6" s="120" t="s">
        <v>2276</v>
      </c>
      <c r="BX6" s="120" t="s">
        <v>2276</v>
      </c>
      <c r="BY6" s="120" t="s">
        <v>2276</v>
      </c>
      <c r="BZ6" s="120" t="s">
        <v>2276</v>
      </c>
      <c r="CA6" s="120" t="s">
        <v>2276</v>
      </c>
      <c r="CB6" s="120" t="s">
        <v>2276</v>
      </c>
      <c r="CC6" s="120" t="s">
        <v>2276</v>
      </c>
      <c r="CD6" s="120" t="s">
        <v>2276</v>
      </c>
      <c r="CE6" s="120" t="s">
        <v>2276</v>
      </c>
      <c r="CF6" s="120" t="s">
        <v>2276</v>
      </c>
      <c r="CG6" s="120" t="s">
        <v>2276</v>
      </c>
      <c r="CH6" s="120" t="s">
        <v>2276</v>
      </c>
      <c r="CI6" s="120" t="s">
        <v>2276</v>
      </c>
      <c r="CJ6" s="120" t="s">
        <v>2276</v>
      </c>
      <c r="CK6" s="120" t="s">
        <v>2276</v>
      </c>
      <c r="CL6" s="120" t="s">
        <v>2276</v>
      </c>
      <c r="CM6" s="120" t="s">
        <v>2276</v>
      </c>
      <c r="CN6" s="120" t="s">
        <v>2276</v>
      </c>
      <c r="CO6" s="120" t="s">
        <v>2276</v>
      </c>
      <c r="CP6" s="120" t="s">
        <v>2276</v>
      </c>
      <c r="CQ6" s="120" t="s">
        <v>2276</v>
      </c>
      <c r="CR6" s="120" t="s">
        <v>2276</v>
      </c>
      <c r="CS6" s="120" t="s">
        <v>2276</v>
      </c>
      <c r="CT6" s="120" t="s">
        <v>2276</v>
      </c>
      <c r="CU6" s="334"/>
      <c r="CW6" s="2">
        <v>1000000000000000</v>
      </c>
      <c r="CX6" t="s">
        <v>146</v>
      </c>
      <c r="CY6" t="s">
        <v>145</v>
      </c>
      <c r="DA6" t="s">
        <v>2563</v>
      </c>
      <c r="DB6" s="2">
        <v>18200</v>
      </c>
      <c r="DC6" t="s">
        <v>2564</v>
      </c>
      <c r="DD6" t="s">
        <v>45</v>
      </c>
    </row>
    <row r="7" spans="1:108" ht="15" thickBot="1" x14ac:dyDescent="0.4">
      <c r="B7" s="192"/>
      <c r="C7" s="120" t="s">
        <v>2560</v>
      </c>
      <c r="D7" s="120" t="s">
        <v>2882</v>
      </c>
      <c r="E7" s="120" t="s">
        <v>869</v>
      </c>
      <c r="F7" s="120" t="s">
        <v>138</v>
      </c>
      <c r="G7" s="120" t="s">
        <v>445</v>
      </c>
      <c r="H7" s="120" t="s">
        <v>3116</v>
      </c>
      <c r="I7" s="122" t="s">
        <v>945</v>
      </c>
      <c r="J7" s="122" t="s">
        <v>865</v>
      </c>
      <c r="K7" s="122" t="s">
        <v>919</v>
      </c>
      <c r="L7" s="122" t="s">
        <v>3116</v>
      </c>
      <c r="M7" s="122" t="s">
        <v>889</v>
      </c>
      <c r="N7" s="122" t="s">
        <v>3121</v>
      </c>
      <c r="O7" s="122" t="s">
        <v>541</v>
      </c>
      <c r="P7" s="125" t="s">
        <v>550</v>
      </c>
      <c r="Q7" s="122" t="s">
        <v>542</v>
      </c>
      <c r="R7" s="122" t="s">
        <v>889</v>
      </c>
      <c r="S7" s="125">
        <f>AI_Models!K120</f>
        <v>40192</v>
      </c>
      <c r="T7" s="125">
        <f>AI_Models!K170</f>
        <v>12900</v>
      </c>
      <c r="U7" s="125" t="s">
        <v>391</v>
      </c>
      <c r="V7" s="125" t="s">
        <v>2603</v>
      </c>
      <c r="W7" s="125" t="s">
        <v>2597</v>
      </c>
      <c r="X7" s="125" t="s">
        <v>2929</v>
      </c>
      <c r="Y7" s="125" t="s">
        <v>2933</v>
      </c>
      <c r="Z7" s="935" t="s">
        <v>2599</v>
      </c>
      <c r="AA7" s="666" t="s">
        <v>2614</v>
      </c>
      <c r="AB7" s="666" t="s">
        <v>2610</v>
      </c>
      <c r="AC7" s="666" t="s">
        <v>2610</v>
      </c>
      <c r="AD7" s="144" t="s">
        <v>2736</v>
      </c>
      <c r="AE7" s="144" t="s">
        <v>2932</v>
      </c>
      <c r="AF7" s="144" t="s">
        <v>2736</v>
      </c>
      <c r="AG7" s="144" t="s">
        <v>3048</v>
      </c>
      <c r="AH7" s="144" t="s">
        <v>2935</v>
      </c>
      <c r="AI7" s="144" t="s">
        <v>2001</v>
      </c>
      <c r="AJ7" s="144" t="s">
        <v>2607</v>
      </c>
      <c r="AK7" s="666" t="s">
        <v>2001</v>
      </c>
      <c r="AL7" s="144" t="s">
        <v>2607</v>
      </c>
      <c r="AM7" s="144" t="s">
        <v>2987</v>
      </c>
      <c r="AN7" s="666" t="s">
        <v>2001</v>
      </c>
      <c r="AO7" s="144" t="s">
        <v>2631</v>
      </c>
      <c r="AP7" s="144" t="s">
        <v>2631</v>
      </c>
      <c r="AQ7" s="666" t="s">
        <v>2626</v>
      </c>
      <c r="AR7" s="944" t="s">
        <v>445</v>
      </c>
      <c r="AS7" s="120" t="s">
        <v>445</v>
      </c>
      <c r="AT7" s="120" t="s">
        <v>445</v>
      </c>
      <c r="AU7" s="120" t="s">
        <v>445</v>
      </c>
      <c r="AV7" s="120" t="s">
        <v>445</v>
      </c>
      <c r="AW7" s="120" t="s">
        <v>445</v>
      </c>
      <c r="AX7" s="120" t="s">
        <v>445</v>
      </c>
      <c r="AY7" s="120" t="s">
        <v>445</v>
      </c>
      <c r="AZ7" s="120" t="s">
        <v>445</v>
      </c>
      <c r="BA7" s="120" t="s">
        <v>445</v>
      </c>
      <c r="BB7" s="120" t="s">
        <v>445</v>
      </c>
      <c r="BC7" s="120" t="s">
        <v>445</v>
      </c>
      <c r="BD7" s="120" t="s">
        <v>445</v>
      </c>
      <c r="BE7" s="120" t="s">
        <v>445</v>
      </c>
      <c r="BF7" s="120" t="s">
        <v>445</v>
      </c>
      <c r="BG7" s="120" t="s">
        <v>445</v>
      </c>
      <c r="BH7" s="120" t="s">
        <v>445</v>
      </c>
      <c r="BI7" s="120" t="s">
        <v>445</v>
      </c>
      <c r="BJ7" s="120" t="s">
        <v>445</v>
      </c>
      <c r="BK7" s="120" t="s">
        <v>445</v>
      </c>
      <c r="BL7" s="120" t="s">
        <v>445</v>
      </c>
      <c r="BM7" s="120" t="s">
        <v>445</v>
      </c>
      <c r="BN7" s="120" t="s">
        <v>445</v>
      </c>
      <c r="BO7" s="120" t="s">
        <v>445</v>
      </c>
      <c r="BP7" s="120" t="s">
        <v>445</v>
      </c>
      <c r="BQ7" s="120" t="s">
        <v>445</v>
      </c>
      <c r="BR7" s="120" t="s">
        <v>445</v>
      </c>
      <c r="BS7" s="120" t="s">
        <v>445</v>
      </c>
      <c r="BT7" s="120" t="s">
        <v>445</v>
      </c>
      <c r="BU7" s="120" t="s">
        <v>445</v>
      </c>
      <c r="BV7" s="120" t="s">
        <v>445</v>
      </c>
      <c r="BW7" s="120" t="s">
        <v>445</v>
      </c>
      <c r="BX7" s="120" t="s">
        <v>445</v>
      </c>
      <c r="BY7" s="120" t="s">
        <v>445</v>
      </c>
      <c r="BZ7" s="120" t="s">
        <v>445</v>
      </c>
      <c r="CA7" s="120" t="s">
        <v>445</v>
      </c>
      <c r="CB7" s="120" t="s">
        <v>445</v>
      </c>
      <c r="CC7" s="120" t="s">
        <v>445</v>
      </c>
      <c r="CD7" s="120" t="s">
        <v>445</v>
      </c>
      <c r="CE7" s="120" t="s">
        <v>445</v>
      </c>
      <c r="CF7" s="120" t="s">
        <v>445</v>
      </c>
      <c r="CG7" s="120" t="s">
        <v>445</v>
      </c>
      <c r="CH7" s="120" t="s">
        <v>445</v>
      </c>
      <c r="CI7" s="120" t="s">
        <v>445</v>
      </c>
      <c r="CJ7" s="120" t="s">
        <v>445</v>
      </c>
      <c r="CK7" s="120" t="s">
        <v>445</v>
      </c>
      <c r="CL7" s="120" t="s">
        <v>445</v>
      </c>
      <c r="CM7" s="120" t="s">
        <v>445</v>
      </c>
      <c r="CN7" s="120" t="s">
        <v>445</v>
      </c>
      <c r="CO7" s="120" t="s">
        <v>445</v>
      </c>
      <c r="CP7" s="120" t="s">
        <v>445</v>
      </c>
      <c r="CQ7" s="120" t="s">
        <v>445</v>
      </c>
      <c r="CR7" s="120" t="s">
        <v>445</v>
      </c>
      <c r="CS7" s="120" t="s">
        <v>445</v>
      </c>
      <c r="CT7" s="120" t="s">
        <v>445</v>
      </c>
      <c r="CU7" s="334"/>
      <c r="CW7" s="2">
        <v>1E+18</v>
      </c>
      <c r="CX7" t="s">
        <v>128</v>
      </c>
      <c r="CY7" t="s">
        <v>125</v>
      </c>
      <c r="DA7" t="s">
        <v>2567</v>
      </c>
      <c r="DB7" s="2">
        <v>2040</v>
      </c>
      <c r="DC7" t="s">
        <v>2568</v>
      </c>
      <c r="DD7" t="s">
        <v>45</v>
      </c>
    </row>
    <row r="8" spans="1:108" ht="15" thickTop="1" x14ac:dyDescent="0.35">
      <c r="B8" s="306" t="s">
        <v>915</v>
      </c>
      <c r="C8" s="307"/>
      <c r="D8" s="364"/>
      <c r="E8" s="356">
        <f>((E18/E12)^(1/($B18-$B12)))-1</f>
        <v>0.56600883805725521</v>
      </c>
      <c r="F8" s="356">
        <f>((F18/F12)^(1/($B18-$B12)))-1</f>
        <v>-4.0735172960455479E-3</v>
      </c>
      <c r="G8" s="356">
        <f>((G18/G12)^(1/($B18-$B12)))-1</f>
        <v>0.55962967396966867</v>
      </c>
      <c r="H8" s="356"/>
      <c r="I8" s="364" t="s">
        <v>45</v>
      </c>
      <c r="J8" s="356">
        <f>((J18/J12)^(1/($B18-$B12)))-1</f>
        <v>0.73171574095321223</v>
      </c>
      <c r="K8" s="356">
        <f t="shared" ref="K8:M8" si="0">((K18/K12)^(1/($B18-$B12)))-1</f>
        <v>1.7118821553355983</v>
      </c>
      <c r="L8" s="356"/>
      <c r="M8" s="356">
        <f t="shared" si="0"/>
        <v>2.0716324462650242</v>
      </c>
      <c r="N8" s="356"/>
      <c r="O8" s="364" t="s">
        <v>45</v>
      </c>
      <c r="P8" s="356">
        <f t="shared" ref="P8:Q8" si="1">((P18/P12)^(1/($B18-$B12)))-1</f>
        <v>0.49575730065811108</v>
      </c>
      <c r="Q8" s="356">
        <f t="shared" si="1"/>
        <v>1.3423691524192654</v>
      </c>
      <c r="R8" s="356">
        <f t="shared" ref="R8" si="2">((R18/R12)^(1/($B18-$B12)))-1</f>
        <v>1.6739708766758015</v>
      </c>
      <c r="S8" s="356">
        <f t="shared" ref="S8" si="3">((S18/S12)^(1/($B18-$B12)))-1</f>
        <v>1.6739708766758015</v>
      </c>
      <c r="T8" s="356">
        <f>((T18/T12)^(1/($B18-$B12)))-1</f>
        <v>2.0716324462650242</v>
      </c>
      <c r="U8" s="308" t="s">
        <v>45</v>
      </c>
      <c r="V8" s="356">
        <f t="shared" ref="V8:W8" si="4">((V18/V12)^(1/($B18-$B12)))-1</f>
        <v>3.0356543087298045</v>
      </c>
      <c r="W8" s="356">
        <f t="shared" si="4"/>
        <v>3.2868204637088674</v>
      </c>
      <c r="X8" s="308" t="s">
        <v>45</v>
      </c>
      <c r="Y8" s="307">
        <f>((Y18/Y12)^(1/($B18-$B12)))-1</f>
        <v>8.2999999999999741E-3</v>
      </c>
      <c r="Z8" s="356">
        <f>((Z18/Z12)^(1/($B18-$B12)))-1</f>
        <v>3.0356543087298045</v>
      </c>
      <c r="AA8" s="356">
        <f t="shared" ref="AA8:AB8" si="5">((AA18/AA12)^(1/($B18-$B12)))-1</f>
        <v>0.91938310366648435</v>
      </c>
      <c r="AB8" s="356">
        <f t="shared" si="5"/>
        <v>0.9673290562581196</v>
      </c>
      <c r="AC8" s="356">
        <f>((AC18/AC12)^(1/($B18-$B12)))-1</f>
        <v>2.4979876346752583E-2</v>
      </c>
      <c r="AD8" s="356">
        <f>((AD18/AD12)^(1/($B18-$B12)))-1</f>
        <v>0.9673290562581196</v>
      </c>
      <c r="AE8" s="308" t="s">
        <v>45</v>
      </c>
      <c r="AF8" s="356">
        <f>((AF18/AF12)^(1/($B18-$B12)))-1</f>
        <v>2.4979876346752583E-2</v>
      </c>
      <c r="AG8" s="308" t="s">
        <v>45</v>
      </c>
      <c r="AH8" s="356">
        <f>((AH18/AH12)^(1/($B18-$B12)))-1</f>
        <v>0.91938310366648435</v>
      </c>
      <c r="AI8" s="356">
        <f>((AI18/AI12)^(1/($B18-$B12)))-1</f>
        <v>7.4335864572163608</v>
      </c>
      <c r="AJ8" s="364" t="s">
        <v>45</v>
      </c>
      <c r="AK8" s="356">
        <f>((AK18/AK12)^(1/($B18-$B12)))-1</f>
        <v>3.3487209320430589E-2</v>
      </c>
      <c r="AL8" s="364" t="s">
        <v>45</v>
      </c>
      <c r="AM8" s="364"/>
      <c r="AN8" s="356">
        <f>((AN18/AN12)^(1/($B18-$B12)))-1</f>
        <v>3.3776775471271225E-2</v>
      </c>
      <c r="AO8" s="364" t="s">
        <v>45</v>
      </c>
      <c r="AP8" s="364"/>
      <c r="AQ8" s="929" t="s">
        <v>45</v>
      </c>
      <c r="AR8" s="945" t="s">
        <v>45</v>
      </c>
      <c r="AS8" s="364" t="s">
        <v>45</v>
      </c>
      <c r="AT8" s="364" t="s">
        <v>45</v>
      </c>
      <c r="AU8" s="364" t="s">
        <v>45</v>
      </c>
      <c r="AV8" s="364" t="s">
        <v>45</v>
      </c>
      <c r="AW8" s="364" t="s">
        <v>45</v>
      </c>
      <c r="AX8" s="364" t="s">
        <v>45</v>
      </c>
      <c r="AY8" s="364" t="s">
        <v>45</v>
      </c>
      <c r="AZ8" s="364" t="s">
        <v>45</v>
      </c>
      <c r="BA8" s="364" t="s">
        <v>45</v>
      </c>
      <c r="BB8" s="364" t="s">
        <v>45</v>
      </c>
      <c r="BC8" s="364" t="s">
        <v>45</v>
      </c>
      <c r="BD8" s="364" t="s">
        <v>45</v>
      </c>
      <c r="BE8" s="364" t="s">
        <v>45</v>
      </c>
      <c r="BF8" s="364" t="s">
        <v>45</v>
      </c>
      <c r="BG8" s="364" t="s">
        <v>45</v>
      </c>
      <c r="BH8" s="364" t="s">
        <v>45</v>
      </c>
      <c r="BI8" s="364" t="s">
        <v>45</v>
      </c>
      <c r="BJ8" s="364" t="s">
        <v>45</v>
      </c>
      <c r="BK8" s="364" t="s">
        <v>45</v>
      </c>
      <c r="BL8" s="364" t="s">
        <v>45</v>
      </c>
      <c r="BM8" s="364" t="s">
        <v>45</v>
      </c>
      <c r="BN8" s="364" t="s">
        <v>45</v>
      </c>
      <c r="BO8" s="364" t="s">
        <v>45</v>
      </c>
      <c r="BP8" s="364" t="s">
        <v>45</v>
      </c>
      <c r="BQ8" s="364" t="s">
        <v>45</v>
      </c>
      <c r="BR8" s="364" t="s">
        <v>45</v>
      </c>
      <c r="BS8" s="364" t="s">
        <v>45</v>
      </c>
      <c r="BT8" s="364" t="s">
        <v>45</v>
      </c>
      <c r="BU8" s="364" t="s">
        <v>45</v>
      </c>
      <c r="BV8" s="364" t="s">
        <v>45</v>
      </c>
      <c r="BW8" s="364" t="s">
        <v>45</v>
      </c>
      <c r="BX8" s="364" t="s">
        <v>45</v>
      </c>
      <c r="BY8" s="364" t="s">
        <v>45</v>
      </c>
      <c r="BZ8" s="364" t="s">
        <v>45</v>
      </c>
      <c r="CA8" s="364" t="s">
        <v>45</v>
      </c>
      <c r="CB8" s="364" t="s">
        <v>45</v>
      </c>
      <c r="CC8" s="364" t="s">
        <v>45</v>
      </c>
      <c r="CD8" s="364" t="s">
        <v>45</v>
      </c>
      <c r="CE8" s="364" t="s">
        <v>45</v>
      </c>
      <c r="CF8" s="364" t="s">
        <v>45</v>
      </c>
      <c r="CG8" s="364" t="s">
        <v>45</v>
      </c>
      <c r="CH8" s="364" t="s">
        <v>45</v>
      </c>
      <c r="CI8" s="364" t="s">
        <v>45</v>
      </c>
      <c r="CJ8" s="364" t="s">
        <v>45</v>
      </c>
      <c r="CK8" s="364" t="s">
        <v>45</v>
      </c>
      <c r="CL8" s="364" t="s">
        <v>45</v>
      </c>
      <c r="CM8" s="364" t="s">
        <v>45</v>
      </c>
      <c r="CN8" s="364" t="s">
        <v>45</v>
      </c>
      <c r="CO8" s="364" t="s">
        <v>45</v>
      </c>
      <c r="CP8" s="364" t="s">
        <v>45</v>
      </c>
      <c r="CQ8" s="364" t="s">
        <v>45</v>
      </c>
      <c r="CR8" s="364" t="s">
        <v>45</v>
      </c>
      <c r="CS8" s="364" t="s">
        <v>45</v>
      </c>
      <c r="CT8" s="364" t="s">
        <v>45</v>
      </c>
      <c r="CU8" s="366"/>
      <c r="DA8" t="s">
        <v>2569</v>
      </c>
      <c r="DB8" s="2">
        <v>3390</v>
      </c>
      <c r="DC8" t="s">
        <v>2570</v>
      </c>
      <c r="DD8" t="s">
        <v>45</v>
      </c>
    </row>
    <row r="9" spans="1:108" x14ac:dyDescent="0.35">
      <c r="B9" s="302" t="s">
        <v>916</v>
      </c>
      <c r="C9" s="312"/>
      <c r="D9" s="363"/>
      <c r="E9" s="298">
        <f>((E34/E18)^(1/($B34-$B18)))-1</f>
        <v>0.25</v>
      </c>
      <c r="F9" s="298">
        <f>((F34/F18)^(1/($B34-$B18)))-1</f>
        <v>-0.10106698312216267</v>
      </c>
      <c r="G9" s="298">
        <f>((G34/G18)^(1/($B34-$B18)))-1</f>
        <v>0.12366627109729667</v>
      </c>
      <c r="H9" s="298">
        <f>((H34/H18)^(1/($B34-$B18)))-1</f>
        <v>0.12366627109729667</v>
      </c>
      <c r="I9" s="363" t="s">
        <v>45</v>
      </c>
      <c r="J9" s="298">
        <f>((J34/J18)^(1/($B34-$B18)))-1</f>
        <v>0.13632129779290159</v>
      </c>
      <c r="K9" s="298">
        <f t="shared" ref="K9:M9" si="6">((K34/K18)^(1/($B34-$B18)))-1</f>
        <v>0.42040162224112709</v>
      </c>
      <c r="L9" s="298"/>
      <c r="M9" s="298">
        <f t="shared" si="6"/>
        <v>0.4632627343142306</v>
      </c>
      <c r="N9" s="298"/>
      <c r="O9" s="363" t="s">
        <v>45</v>
      </c>
      <c r="P9" s="298">
        <f t="shared" ref="P9:Q9" si="7">((P34/P18)^(1/($B34-$B18)))-1</f>
        <v>0.20589157852616147</v>
      </c>
      <c r="Q9" s="298">
        <f t="shared" si="7"/>
        <v>0.50736447315770161</v>
      </c>
      <c r="R9" s="298">
        <f t="shared" ref="R9" si="8">((R34/R18)^(1/($B34-$B18)))-1</f>
        <v>0.54019447161081513</v>
      </c>
      <c r="S9" s="298">
        <f t="shared" ref="S9" si="9">((S34/S18)^(1/($B34-$B18)))-1</f>
        <v>0.54019447161081513</v>
      </c>
      <c r="T9" s="298">
        <f>((T34/T18)^(1/($B34-$B18)))-1</f>
        <v>0.4632627343142306</v>
      </c>
      <c r="U9" s="315" t="s">
        <v>45</v>
      </c>
      <c r="V9" s="298">
        <f t="shared" ref="V9:Z9" si="10">((V34/V18)^(1/($B34-$B18)))-1</f>
        <v>0.59231706637907444</v>
      </c>
      <c r="W9" s="298">
        <f t="shared" si="10"/>
        <v>0.68149845070315407</v>
      </c>
      <c r="X9" s="315" t="s">
        <v>45</v>
      </c>
      <c r="Y9" s="312">
        <f>((Y34/Y18)^(1/($B34-$B18)))-1</f>
        <v>8.2999999999999741E-3</v>
      </c>
      <c r="Z9" s="298">
        <f t="shared" si="10"/>
        <v>0.59231706637907444</v>
      </c>
      <c r="AA9" s="298">
        <f t="shared" ref="AA9:AB9" si="11">((AA34/AA18)^(1/($B34-$B18)))-1</f>
        <v>9.050773266525769E-2</v>
      </c>
      <c r="AB9" s="298">
        <f t="shared" si="11"/>
        <v>0.16285178962249347</v>
      </c>
      <c r="AC9" s="298">
        <f t="shared" ref="AC9:AK9" si="12">((AC34/AC18)^(1/($B34-$B18)))-1</f>
        <v>6.6339792731614278E-2</v>
      </c>
      <c r="AD9" s="298">
        <f t="shared" ref="AD9" si="13">((AD34/AD18)^(1/($B34-$B18)))-1</f>
        <v>0.16285178962249347</v>
      </c>
      <c r="AE9" s="315" t="s">
        <v>45</v>
      </c>
      <c r="AF9" s="298">
        <f t="shared" si="12"/>
        <v>6.6339792731614278E-2</v>
      </c>
      <c r="AG9" s="315" t="s">
        <v>45</v>
      </c>
      <c r="AH9" s="298">
        <f t="shared" ref="AH9" si="14">((AH34/AH18)^(1/($B34-$B18)))-1</f>
        <v>9.050773266525769E-2</v>
      </c>
      <c r="AI9" s="298">
        <f t="shared" ref="AI9" si="15">((AI34/AI18)^(1/($B34-$B18)))-1</f>
        <v>0.95533348264761253</v>
      </c>
      <c r="AJ9" s="363" t="s">
        <v>45</v>
      </c>
      <c r="AK9" s="298">
        <f t="shared" si="12"/>
        <v>7.5190413011286594E-2</v>
      </c>
      <c r="AL9" s="363" t="s">
        <v>45</v>
      </c>
      <c r="AM9" s="363"/>
      <c r="AN9" s="298">
        <f t="shared" ref="AN9:AP9" si="16">((AN34/AN18)^(1/($B34-$B18)))-1</f>
        <v>0.31491704063609594</v>
      </c>
      <c r="AO9" s="363" t="s">
        <v>45</v>
      </c>
      <c r="AP9" s="298">
        <f t="shared" si="16"/>
        <v>0.31491704063609594</v>
      </c>
      <c r="AQ9" s="363" t="s">
        <v>45</v>
      </c>
      <c r="AR9" s="946" t="s">
        <v>45</v>
      </c>
      <c r="AS9" s="363" t="s">
        <v>45</v>
      </c>
      <c r="AT9" s="363" t="s">
        <v>45</v>
      </c>
      <c r="AU9" s="363" t="s">
        <v>45</v>
      </c>
      <c r="AV9" s="363" t="s">
        <v>45</v>
      </c>
      <c r="AW9" s="363" t="s">
        <v>45</v>
      </c>
      <c r="AX9" s="363" t="s">
        <v>45</v>
      </c>
      <c r="AY9" s="363" t="s">
        <v>45</v>
      </c>
      <c r="AZ9" s="363" t="s">
        <v>45</v>
      </c>
      <c r="BA9" s="363" t="s">
        <v>45</v>
      </c>
      <c r="BB9" s="363" t="s">
        <v>45</v>
      </c>
      <c r="BC9" s="363" t="s">
        <v>45</v>
      </c>
      <c r="BD9" s="363" t="s">
        <v>45</v>
      </c>
      <c r="BE9" s="363" t="s">
        <v>45</v>
      </c>
      <c r="BF9" s="363" t="s">
        <v>45</v>
      </c>
      <c r="BG9" s="363" t="s">
        <v>45</v>
      </c>
      <c r="BH9" s="363" t="s">
        <v>45</v>
      </c>
      <c r="BI9" s="363" t="s">
        <v>45</v>
      </c>
      <c r="BJ9" s="363" t="s">
        <v>45</v>
      </c>
      <c r="BK9" s="363" t="s">
        <v>45</v>
      </c>
      <c r="BL9" s="363" t="s">
        <v>45</v>
      </c>
      <c r="BM9" s="363" t="s">
        <v>45</v>
      </c>
      <c r="BN9" s="363" t="s">
        <v>45</v>
      </c>
      <c r="BO9" s="363" t="s">
        <v>45</v>
      </c>
      <c r="BP9" s="363" t="s">
        <v>45</v>
      </c>
      <c r="BQ9" s="363" t="s">
        <v>45</v>
      </c>
      <c r="BR9" s="363" t="s">
        <v>45</v>
      </c>
      <c r="BS9" s="363" t="s">
        <v>45</v>
      </c>
      <c r="BT9" s="363" t="s">
        <v>45</v>
      </c>
      <c r="BU9" s="363" t="s">
        <v>45</v>
      </c>
      <c r="BV9" s="363" t="s">
        <v>45</v>
      </c>
      <c r="BW9" s="363" t="s">
        <v>45</v>
      </c>
      <c r="BX9" s="363" t="s">
        <v>45</v>
      </c>
      <c r="BY9" s="363" t="s">
        <v>45</v>
      </c>
      <c r="BZ9" s="363" t="s">
        <v>45</v>
      </c>
      <c r="CA9" s="363" t="s">
        <v>45</v>
      </c>
      <c r="CB9" s="363" t="s">
        <v>45</v>
      </c>
      <c r="CC9" s="363" t="s">
        <v>45</v>
      </c>
      <c r="CD9" s="363" t="s">
        <v>45</v>
      </c>
      <c r="CE9" s="363" t="s">
        <v>45</v>
      </c>
      <c r="CF9" s="363" t="s">
        <v>45</v>
      </c>
      <c r="CG9" s="363" t="s">
        <v>45</v>
      </c>
      <c r="CH9" s="363" t="s">
        <v>45</v>
      </c>
      <c r="CI9" s="363" t="s">
        <v>45</v>
      </c>
      <c r="CJ9" s="363" t="s">
        <v>45</v>
      </c>
      <c r="CK9" s="363" t="s">
        <v>45</v>
      </c>
      <c r="CL9" s="363" t="s">
        <v>45</v>
      </c>
      <c r="CM9" s="363" t="s">
        <v>45</v>
      </c>
      <c r="CN9" s="363" t="s">
        <v>45</v>
      </c>
      <c r="CO9" s="363" t="s">
        <v>45</v>
      </c>
      <c r="CP9" s="363" t="s">
        <v>45</v>
      </c>
      <c r="CQ9" s="363" t="s">
        <v>45</v>
      </c>
      <c r="CR9" s="363" t="s">
        <v>45</v>
      </c>
      <c r="CS9" s="363" t="s">
        <v>45</v>
      </c>
      <c r="CT9" s="363" t="s">
        <v>45</v>
      </c>
      <c r="CU9" s="367"/>
    </row>
    <row r="10" spans="1:108" ht="15" thickBot="1" x14ac:dyDescent="0.4">
      <c r="B10" s="66" t="s">
        <v>931</v>
      </c>
      <c r="C10" s="80"/>
      <c r="D10" s="252"/>
      <c r="E10" s="87">
        <f>((E34/E12)^(1/($B34-$B12)))-1</f>
        <v>0.32924704265048765</v>
      </c>
      <c r="F10" s="87">
        <f t="shared" ref="F10:T10" si="17">((F34/F12)^(1/($B34-$B12)))-1</f>
        <v>-7.5592029093209612E-2</v>
      </c>
      <c r="G10" s="87">
        <f t="shared" si="17"/>
        <v>0.2287665615303891</v>
      </c>
      <c r="H10" s="87"/>
      <c r="I10" s="252" t="s">
        <v>45</v>
      </c>
      <c r="J10" s="87">
        <f t="shared" si="17"/>
        <v>0.27468696366017387</v>
      </c>
      <c r="K10" s="87">
        <f t="shared" si="17"/>
        <v>0.69437387675041551</v>
      </c>
      <c r="L10" s="87"/>
      <c r="M10" s="87">
        <f t="shared" si="17"/>
        <v>0.79123800171338332</v>
      </c>
      <c r="N10" s="87"/>
      <c r="O10" s="252" t="s">
        <v>45</v>
      </c>
      <c r="P10" s="87">
        <f t="shared" si="17"/>
        <v>0.27885904969117759</v>
      </c>
      <c r="Q10" s="87">
        <f t="shared" si="17"/>
        <v>0.69991960976881074</v>
      </c>
      <c r="R10" s="87">
        <f t="shared" si="17"/>
        <v>0.79025899159840196</v>
      </c>
      <c r="S10" s="87">
        <f t="shared" si="17"/>
        <v>0.79025899159840196</v>
      </c>
      <c r="T10" s="87">
        <f t="shared" si="17"/>
        <v>0.79123800171338332</v>
      </c>
      <c r="U10" s="249" t="s">
        <v>45</v>
      </c>
      <c r="V10" s="87">
        <f t="shared" ref="V10:Z10" si="18">((V34/V12)^(1/($B34-$B12)))-1</f>
        <v>1.0520117485448708</v>
      </c>
      <c r="W10" s="87">
        <f t="shared" si="18"/>
        <v>1.1704182044198124</v>
      </c>
      <c r="X10" s="249" t="s">
        <v>45</v>
      </c>
      <c r="Y10" s="80">
        <f>((Y34/Y12)^(1/($B34-$B12)))-1</f>
        <v>8.2999999999999741E-3</v>
      </c>
      <c r="Z10" s="87">
        <f t="shared" si="18"/>
        <v>1.0520117485448708</v>
      </c>
      <c r="AA10" s="87">
        <f t="shared" ref="AA10:AB10" si="19">((AA34/AA12)^(1/($B34-$B12)))-1</f>
        <v>0.27230804274753595</v>
      </c>
      <c r="AB10" s="87">
        <f t="shared" si="19"/>
        <v>0.34215402612843926</v>
      </c>
      <c r="AC10" s="87">
        <f>((AC34/AC12)^(1/($B34-$B12)))-1</f>
        <v>5.4897069761558281E-2</v>
      </c>
      <c r="AD10" s="87">
        <f>((AD34/AD12)^(1/($B34-$B12)))-1</f>
        <v>0.34215402612843926</v>
      </c>
      <c r="AE10" s="249" t="s">
        <v>45</v>
      </c>
      <c r="AF10" s="87">
        <f>((AF34/AF12)^(1/($B34-$B12)))-1</f>
        <v>5.4897069761558281E-2</v>
      </c>
      <c r="AG10" s="249" t="s">
        <v>45</v>
      </c>
      <c r="AH10" s="87">
        <f>((AH34/AH12)^(1/($B34-$B12)))-1</f>
        <v>0.27230804274753595</v>
      </c>
      <c r="AI10" s="87">
        <f>((AI34/AI12)^(1/($B34-$B12)))-1</f>
        <v>1.9130355314445091</v>
      </c>
      <c r="AJ10" s="252" t="s">
        <v>45</v>
      </c>
      <c r="AK10" s="87">
        <f>((AK34/AK12)^(1/($B34-$B12)))-1</f>
        <v>6.3652715440579266E-2</v>
      </c>
      <c r="AL10" s="252" t="s">
        <v>45</v>
      </c>
      <c r="AM10" s="252"/>
      <c r="AN10" s="87">
        <f>((AN34/AN12)^(1/($B34-$B12)))-1</f>
        <v>0.23141971933745453</v>
      </c>
      <c r="AO10" s="252" t="s">
        <v>45</v>
      </c>
      <c r="AP10" s="87" t="e">
        <f>((AP34/AP12)^(1/($B34-$B12)))-1</f>
        <v>#VALUE!</v>
      </c>
      <c r="AQ10" s="930" t="s">
        <v>45</v>
      </c>
      <c r="AR10" s="947" t="s">
        <v>45</v>
      </c>
      <c r="AS10" s="252" t="s">
        <v>45</v>
      </c>
      <c r="AT10" s="252" t="s">
        <v>45</v>
      </c>
      <c r="AU10" s="252" t="s">
        <v>45</v>
      </c>
      <c r="AV10" s="252" t="s">
        <v>45</v>
      </c>
      <c r="AW10" s="252" t="s">
        <v>45</v>
      </c>
      <c r="AX10" s="252" t="s">
        <v>45</v>
      </c>
      <c r="AY10" s="252" t="s">
        <v>45</v>
      </c>
      <c r="AZ10" s="252" t="s">
        <v>45</v>
      </c>
      <c r="BA10" s="252" t="s">
        <v>45</v>
      </c>
      <c r="BB10" s="252" t="s">
        <v>45</v>
      </c>
      <c r="BC10" s="252" t="s">
        <v>45</v>
      </c>
      <c r="BD10" s="252" t="s">
        <v>45</v>
      </c>
      <c r="BE10" s="252" t="s">
        <v>45</v>
      </c>
      <c r="BF10" s="252" t="s">
        <v>45</v>
      </c>
      <c r="BG10" s="252" t="s">
        <v>45</v>
      </c>
      <c r="BH10" s="252" t="s">
        <v>45</v>
      </c>
      <c r="BI10" s="252" t="s">
        <v>45</v>
      </c>
      <c r="BJ10" s="252" t="s">
        <v>45</v>
      </c>
      <c r="BK10" s="252" t="s">
        <v>45</v>
      </c>
      <c r="BL10" s="252" t="s">
        <v>45</v>
      </c>
      <c r="BM10" s="252" t="s">
        <v>45</v>
      </c>
      <c r="BN10" s="252" t="s">
        <v>45</v>
      </c>
      <c r="BO10" s="252" t="s">
        <v>45</v>
      </c>
      <c r="BP10" s="252" t="s">
        <v>45</v>
      </c>
      <c r="BQ10" s="252" t="s">
        <v>45</v>
      </c>
      <c r="BR10" s="252" t="s">
        <v>45</v>
      </c>
      <c r="BS10" s="252" t="s">
        <v>45</v>
      </c>
      <c r="BT10" s="252" t="s">
        <v>45</v>
      </c>
      <c r="BU10" s="252" t="s">
        <v>45</v>
      </c>
      <c r="BV10" s="252" t="s">
        <v>45</v>
      </c>
      <c r="BW10" s="252" t="s">
        <v>45</v>
      </c>
      <c r="BX10" s="252" t="s">
        <v>45</v>
      </c>
      <c r="BY10" s="252" t="s">
        <v>45</v>
      </c>
      <c r="BZ10" s="252" t="s">
        <v>45</v>
      </c>
      <c r="CA10" s="252" t="s">
        <v>45</v>
      </c>
      <c r="CB10" s="252" t="s">
        <v>45</v>
      </c>
      <c r="CC10" s="252" t="s">
        <v>45</v>
      </c>
      <c r="CD10" s="252" t="s">
        <v>45</v>
      </c>
      <c r="CE10" s="252" t="s">
        <v>45</v>
      </c>
      <c r="CF10" s="252" t="s">
        <v>45</v>
      </c>
      <c r="CG10" s="252" t="s">
        <v>45</v>
      </c>
      <c r="CH10" s="252" t="s">
        <v>45</v>
      </c>
      <c r="CI10" s="252" t="s">
        <v>45</v>
      </c>
      <c r="CJ10" s="252" t="s">
        <v>45</v>
      </c>
      <c r="CK10" s="252" t="s">
        <v>45</v>
      </c>
      <c r="CL10" s="252" t="s">
        <v>45</v>
      </c>
      <c r="CM10" s="252" t="s">
        <v>45</v>
      </c>
      <c r="CN10" s="252" t="s">
        <v>45</v>
      </c>
      <c r="CO10" s="252" t="s">
        <v>45</v>
      </c>
      <c r="CP10" s="252" t="s">
        <v>45</v>
      </c>
      <c r="CQ10" s="252" t="s">
        <v>45</v>
      </c>
      <c r="CR10" s="252" t="s">
        <v>45</v>
      </c>
      <c r="CS10" s="252" t="s">
        <v>45</v>
      </c>
      <c r="CT10" s="252" t="s">
        <v>45</v>
      </c>
      <c r="CU10" s="368"/>
    </row>
    <row r="11" spans="1:108" ht="15" thickTop="1" x14ac:dyDescent="0.35">
      <c r="B11" s="299">
        <v>2022</v>
      </c>
      <c r="C11" s="340" t="s">
        <v>45</v>
      </c>
      <c r="D11" s="340"/>
      <c r="E11" s="196" t="s">
        <v>45</v>
      </c>
      <c r="F11" s="196" t="s">
        <v>45</v>
      </c>
      <c r="G11" s="341">
        <v>15</v>
      </c>
      <c r="H11" s="341"/>
      <c r="I11" s="338" t="s">
        <v>45</v>
      </c>
      <c r="J11" s="238" t="s">
        <v>45</v>
      </c>
      <c r="K11" s="238" t="s">
        <v>45</v>
      </c>
      <c r="L11" s="238"/>
      <c r="M11" s="238" t="s">
        <v>45</v>
      </c>
      <c r="N11" s="238"/>
      <c r="O11" s="338" t="s">
        <v>45</v>
      </c>
      <c r="P11" s="342" t="s">
        <v>45</v>
      </c>
      <c r="Q11" s="342" t="s">
        <v>45</v>
      </c>
      <c r="R11" s="342" t="s">
        <v>45</v>
      </c>
      <c r="S11" s="342" t="s">
        <v>45</v>
      </c>
      <c r="T11" s="342" t="s">
        <v>45</v>
      </c>
      <c r="U11" s="196" t="s">
        <v>45</v>
      </c>
      <c r="V11" s="196" t="s">
        <v>45</v>
      </c>
      <c r="W11" s="196" t="s">
        <v>45</v>
      </c>
      <c r="X11" s="196" t="s">
        <v>45</v>
      </c>
      <c r="Y11" s="196">
        <v>7975105156</v>
      </c>
      <c r="Z11" s="668" t="s">
        <v>45</v>
      </c>
      <c r="AA11" s="352" t="s">
        <v>45</v>
      </c>
      <c r="AB11" s="352"/>
      <c r="AC11" s="352" t="s">
        <v>45</v>
      </c>
      <c r="AD11" s="352"/>
      <c r="AE11" s="352"/>
      <c r="AF11" s="352"/>
      <c r="AG11" s="352"/>
      <c r="AH11" s="352"/>
      <c r="AI11" s="352" t="s">
        <v>45</v>
      </c>
      <c r="AJ11" s="338" t="s">
        <v>45</v>
      </c>
      <c r="AK11" s="352" t="s">
        <v>45</v>
      </c>
      <c r="AL11" s="338" t="s">
        <v>45</v>
      </c>
      <c r="AM11" s="338"/>
      <c r="AN11" s="352" t="s">
        <v>45</v>
      </c>
      <c r="AO11" s="338" t="s">
        <v>45</v>
      </c>
      <c r="AP11" s="338"/>
      <c r="AQ11" s="352" t="s">
        <v>45</v>
      </c>
      <c r="AR11" s="948">
        <v>27</v>
      </c>
      <c r="AS11" s="341">
        <v>394.33</v>
      </c>
      <c r="AT11" s="341">
        <v>76</v>
      </c>
      <c r="AU11" s="962">
        <v>9.08</v>
      </c>
      <c r="AV11" s="962">
        <v>219.5</v>
      </c>
      <c r="AW11" s="341">
        <v>22</v>
      </c>
      <c r="AX11" s="407">
        <v>2.6669999999999998</v>
      </c>
      <c r="AY11" s="407">
        <v>25.785</v>
      </c>
      <c r="AZ11" s="341">
        <v>252</v>
      </c>
      <c r="BA11" s="341">
        <v>63</v>
      </c>
      <c r="BB11" s="962">
        <v>8.1</v>
      </c>
      <c r="BC11" s="341">
        <v>31</v>
      </c>
      <c r="BD11" s="341">
        <v>30.8</v>
      </c>
      <c r="BE11" s="923">
        <v>2.7</v>
      </c>
      <c r="BF11" s="923">
        <v>44.2</v>
      </c>
      <c r="BG11" s="923">
        <v>17.399999999999999</v>
      </c>
      <c r="BH11" s="923">
        <v>13.2</v>
      </c>
      <c r="BI11" s="407">
        <v>2.5000000000000001E-2</v>
      </c>
      <c r="BJ11" s="937" t="s">
        <v>45</v>
      </c>
      <c r="BK11" s="937" t="s">
        <v>45</v>
      </c>
      <c r="BL11" s="937">
        <v>0.23350000000000001</v>
      </c>
      <c r="BM11" s="937">
        <v>1.91</v>
      </c>
      <c r="BN11" s="937">
        <v>0.23</v>
      </c>
      <c r="BO11" s="937">
        <v>3.45</v>
      </c>
      <c r="BP11" s="937">
        <v>4.1100000000000003</v>
      </c>
      <c r="BQ11" s="937">
        <v>26.29</v>
      </c>
      <c r="BR11" s="937">
        <v>61.912999999999997</v>
      </c>
      <c r="BS11" s="937">
        <v>15.51</v>
      </c>
      <c r="BT11" s="937">
        <v>18.54</v>
      </c>
      <c r="BU11" s="937">
        <v>6.76</v>
      </c>
      <c r="BV11" s="937">
        <v>4.4400000000000004</v>
      </c>
      <c r="BW11" s="937">
        <v>16.72</v>
      </c>
      <c r="BX11" s="937">
        <v>65.98</v>
      </c>
      <c r="BY11" s="937">
        <v>36.6</v>
      </c>
      <c r="BZ11" s="937">
        <v>39.4</v>
      </c>
      <c r="CA11" s="973">
        <v>0.2</v>
      </c>
      <c r="CB11" s="937">
        <v>0.01</v>
      </c>
      <c r="CC11" s="937" t="s">
        <v>45</v>
      </c>
      <c r="CD11" s="352">
        <v>282.83600000000001</v>
      </c>
      <c r="CE11" s="352">
        <v>198.27</v>
      </c>
      <c r="CF11" s="352">
        <v>513.98</v>
      </c>
      <c r="CG11" s="352">
        <v>81.400000000000006</v>
      </c>
      <c r="CH11" s="937" t="s">
        <v>45</v>
      </c>
      <c r="CI11" s="973">
        <v>4.4000000000000004</v>
      </c>
      <c r="CJ11" s="973">
        <v>4.5999999999999996</v>
      </c>
      <c r="CK11" s="352">
        <v>134.5</v>
      </c>
      <c r="CL11" s="352" t="s">
        <v>45</v>
      </c>
      <c r="CM11" s="196">
        <v>17.931000000000001</v>
      </c>
      <c r="CN11" s="196">
        <v>82.4</v>
      </c>
      <c r="CO11" s="937">
        <v>0.13400000000000001</v>
      </c>
      <c r="CP11" s="937">
        <v>2.3E-2</v>
      </c>
      <c r="CQ11" s="973">
        <v>4</v>
      </c>
      <c r="CR11" s="973">
        <v>62.1</v>
      </c>
      <c r="CS11" s="973">
        <v>48</v>
      </c>
      <c r="CT11" s="973">
        <v>90.7</v>
      </c>
      <c r="CU11" s="971"/>
    </row>
    <row r="12" spans="1:108" x14ac:dyDescent="0.35">
      <c r="A12" s="185">
        <f>E12*F12/CW4</f>
        <v>31</v>
      </c>
      <c r="B12" s="299">
        <v>2023</v>
      </c>
      <c r="C12" s="340" t="s">
        <v>45</v>
      </c>
      <c r="D12" s="340" t="s">
        <v>1065</v>
      </c>
      <c r="E12" s="197">
        <v>550000</v>
      </c>
      <c r="F12" s="341">
        <f>G12*CW4/E12</f>
        <v>56363.63636363636</v>
      </c>
      <c r="G12" s="341">
        <v>31</v>
      </c>
      <c r="H12" s="341"/>
      <c r="I12" s="338" t="s">
        <v>45</v>
      </c>
      <c r="J12" s="197">
        <f>KeyChips!W12</f>
        <v>3958</v>
      </c>
      <c r="K12" s="197">
        <f t="shared" ref="K12:K33" si="20">E12*J12/CW$3</f>
        <v>2176.9</v>
      </c>
      <c r="L12" s="197"/>
      <c r="M12" s="197">
        <f>SUM(K11:K12)</f>
        <v>2176.9</v>
      </c>
      <c r="N12" s="197"/>
      <c r="O12" s="338" t="s">
        <v>45</v>
      </c>
      <c r="P12" s="196">
        <f>KeyChips!J$12</f>
        <v>80</v>
      </c>
      <c r="Q12" s="196">
        <f t="shared" ref="Q12:Q33" si="21">E12*P12/CW$2</f>
        <v>44000</v>
      </c>
      <c r="R12" s="197">
        <f>SUM(Q11:Q12)</f>
        <v>44000</v>
      </c>
      <c r="S12" s="196">
        <f t="shared" ref="S12:S34" si="22">R12*CW$2/S$7</f>
        <v>1094.7452229299363</v>
      </c>
      <c r="T12" s="196">
        <f t="shared" ref="T12:T34" si="23">(M12*CW$3)/T$7</f>
        <v>168751.93798449612</v>
      </c>
      <c r="U12" s="196" t="s">
        <v>45</v>
      </c>
      <c r="V12" s="196">
        <v>500</v>
      </c>
      <c r="W12" s="197">
        <f>SUM(V11:V12)</f>
        <v>500</v>
      </c>
      <c r="X12" s="197" t="s">
        <v>45</v>
      </c>
      <c r="Y12" s="196">
        <f t="shared" ref="Y12:Y34" si="24">Y11*(1+Y$43)</f>
        <v>8041298528.7947998</v>
      </c>
      <c r="Z12" s="937">
        <f t="shared" ref="Z12:Z34" si="25">(V12*Z$40)/CW$4</f>
        <v>0.02</v>
      </c>
      <c r="AA12" s="983">
        <v>0.01</v>
      </c>
      <c r="AB12" s="988">
        <f t="shared" ref="AB12:AB34" si="26">(AI12*CW$4)/(W12*W$40)</f>
        <v>0.14775336587365856</v>
      </c>
      <c r="AC12" s="923">
        <f t="shared" ref="AC12:AC33" si="27">(AK12*CW$4)/(Y12*0.5*Y$40)</f>
        <v>14.775336587365855</v>
      </c>
      <c r="AD12" s="352">
        <f t="shared" ref="AD12:AD34" si="28">(AI12*CW$4)/W12</f>
        <v>1183.2089539162578</v>
      </c>
      <c r="AE12" s="352" t="s">
        <v>45</v>
      </c>
      <c r="AF12" s="341">
        <f t="shared" ref="AF12:AF34" si="29">(AK12*CW$4)/Y12</f>
        <v>12913.644177357757</v>
      </c>
      <c r="AG12" s="352" t="s">
        <v>45</v>
      </c>
      <c r="AH12" s="651">
        <f>AD12/AF12</f>
        <v>9.1624713958810083E-2</v>
      </c>
      <c r="AI12" s="937">
        <f t="shared" ref="AI12:AI34" si="30">(W12*W$40*AC12*AA12)/CW$4</f>
        <v>5.9160447695812883E-4</v>
      </c>
      <c r="AJ12" s="338" t="s">
        <v>45</v>
      </c>
      <c r="AK12" s="352">
        <f>GlobalChipProd_ElecUse!AB13</f>
        <v>103842.46792476648</v>
      </c>
      <c r="AL12" s="338" t="s">
        <v>45</v>
      </c>
      <c r="AM12" s="1027" t="s">
        <v>45</v>
      </c>
      <c r="AN12" s="352">
        <f>AI12+AK12</f>
        <v>103842.46851637095</v>
      </c>
      <c r="AO12" s="338" t="s">
        <v>45</v>
      </c>
      <c r="AP12" s="1027" t="s">
        <v>45</v>
      </c>
      <c r="AQ12" s="352" t="s">
        <v>45</v>
      </c>
      <c r="AR12" s="948">
        <v>27</v>
      </c>
      <c r="AS12" s="341">
        <v>383.29</v>
      </c>
      <c r="AT12" s="341">
        <v>69</v>
      </c>
      <c r="AU12" s="962">
        <v>7.24</v>
      </c>
      <c r="AV12" s="962">
        <v>198.3</v>
      </c>
      <c r="AW12" s="341">
        <v>30</v>
      </c>
      <c r="AX12" s="407">
        <v>3.05</v>
      </c>
      <c r="AY12" s="407">
        <v>26.52</v>
      </c>
      <c r="AZ12" s="341">
        <v>216</v>
      </c>
      <c r="BA12" s="341">
        <v>54</v>
      </c>
      <c r="BB12" s="962">
        <v>7.4</v>
      </c>
      <c r="BC12" s="341">
        <v>23</v>
      </c>
      <c r="BD12" s="341">
        <v>15.5</v>
      </c>
      <c r="BE12" s="923">
        <v>2.68</v>
      </c>
      <c r="BF12" s="923">
        <v>36</v>
      </c>
      <c r="BG12" s="923">
        <v>16.3</v>
      </c>
      <c r="BH12" s="923">
        <v>13.27</v>
      </c>
      <c r="BI12" s="407">
        <v>7.9000000000000001E-2</v>
      </c>
      <c r="BJ12" s="407">
        <v>3.0000000000000001E-3</v>
      </c>
      <c r="BK12" s="407">
        <v>3.7999999999999999E-2</v>
      </c>
      <c r="BL12" s="407">
        <v>0.32479999999999998</v>
      </c>
      <c r="BM12" s="407">
        <v>2.23</v>
      </c>
      <c r="BN12" s="407">
        <v>0.42</v>
      </c>
      <c r="BO12" s="407">
        <v>3.16</v>
      </c>
      <c r="BP12" s="407">
        <v>4.91</v>
      </c>
      <c r="BQ12" s="407">
        <v>28.71</v>
      </c>
      <c r="BR12" s="407">
        <v>70.831999999999994</v>
      </c>
      <c r="BS12" s="407">
        <v>16.62</v>
      </c>
      <c r="BT12" s="407">
        <v>19.43</v>
      </c>
      <c r="BU12" s="407">
        <v>7.8</v>
      </c>
      <c r="BV12" s="407">
        <v>4.93</v>
      </c>
      <c r="BW12" s="407">
        <v>20.51</v>
      </c>
      <c r="BX12" s="407">
        <v>67.569999999999993</v>
      </c>
      <c r="BY12" s="407">
        <v>39.29</v>
      </c>
      <c r="BZ12" s="407">
        <v>42.3</v>
      </c>
      <c r="CA12" s="962">
        <v>1.6</v>
      </c>
      <c r="CB12" s="407">
        <v>0.1</v>
      </c>
      <c r="CC12" s="937" t="s">
        <v>45</v>
      </c>
      <c r="CD12" s="341">
        <v>307.39</v>
      </c>
      <c r="CE12" s="341">
        <v>211.92</v>
      </c>
      <c r="CF12" s="341">
        <v>574.78</v>
      </c>
      <c r="CG12" s="341">
        <v>96.8</v>
      </c>
      <c r="CH12" s="937" t="s">
        <v>45</v>
      </c>
      <c r="CI12" s="962">
        <v>3.4</v>
      </c>
      <c r="CJ12" s="962">
        <v>8.6999999999999993</v>
      </c>
      <c r="CK12" s="341">
        <v>126</v>
      </c>
      <c r="CL12" s="352" t="s">
        <v>45</v>
      </c>
      <c r="CM12" s="196">
        <v>18.957999999999998</v>
      </c>
      <c r="CN12" s="196">
        <v>86.1</v>
      </c>
      <c r="CO12" s="937">
        <v>0.219</v>
      </c>
      <c r="CP12" s="937">
        <v>4.2999999999999997E-2</v>
      </c>
      <c r="CQ12" s="962">
        <v>4.3</v>
      </c>
      <c r="CR12" s="962">
        <v>84.89</v>
      </c>
      <c r="CS12" s="962">
        <v>56.5</v>
      </c>
      <c r="CT12" s="962">
        <v>99.4</v>
      </c>
      <c r="CU12" s="972"/>
    </row>
    <row r="13" spans="1:108" x14ac:dyDescent="0.35">
      <c r="B13" s="299">
        <v>2024</v>
      </c>
      <c r="C13" s="344">
        <f>(E13-E12)/E12</f>
        <v>2.6363636363636362</v>
      </c>
      <c r="D13" s="340" t="s">
        <v>1063</v>
      </c>
      <c r="E13" s="197">
        <v>2000000</v>
      </c>
      <c r="F13" s="341">
        <f>KeyChips!P12</f>
        <v>33000</v>
      </c>
      <c r="G13" s="341">
        <f t="shared" ref="G13:G33" si="31">(E13*F13)/CW$4</f>
        <v>66</v>
      </c>
      <c r="H13" s="341"/>
      <c r="I13" s="338" t="s">
        <v>45</v>
      </c>
      <c r="J13" s="197">
        <f>J12</f>
        <v>3958</v>
      </c>
      <c r="K13" s="197">
        <f t="shared" si="20"/>
        <v>7916</v>
      </c>
      <c r="L13" s="197"/>
      <c r="M13" s="197">
        <f>SUM(K11:K13)</f>
        <v>10092.9</v>
      </c>
      <c r="N13" s="197"/>
      <c r="O13" s="338" t="s">
        <v>45</v>
      </c>
      <c r="P13" s="196">
        <f>KeyChips!J$12</f>
        <v>80</v>
      </c>
      <c r="Q13" s="196">
        <f t="shared" si="21"/>
        <v>160000</v>
      </c>
      <c r="R13" s="197">
        <f>SUM(Q11:Q13)</f>
        <v>204000</v>
      </c>
      <c r="S13" s="196">
        <f t="shared" si="22"/>
        <v>5075.6369426751589</v>
      </c>
      <c r="T13" s="196">
        <f t="shared" si="23"/>
        <v>782395.34883720928</v>
      </c>
      <c r="U13" s="340">
        <v>1</v>
      </c>
      <c r="V13" s="196">
        <f>V12*(1+U13)</f>
        <v>1000</v>
      </c>
      <c r="W13" s="197">
        <f>SUM(V11:V13)</f>
        <v>1500</v>
      </c>
      <c r="X13" s="344">
        <f>(W13-W12)/W12</f>
        <v>2</v>
      </c>
      <c r="Y13" s="196">
        <f t="shared" si="24"/>
        <v>8108041306.5837965</v>
      </c>
      <c r="Z13" s="937">
        <f t="shared" si="25"/>
        <v>0.04</v>
      </c>
      <c r="AA13" s="983">
        <v>0.03</v>
      </c>
      <c r="AB13" s="988">
        <f t="shared" si="26"/>
        <v>0.45396106577079909</v>
      </c>
      <c r="AC13" s="923">
        <f t="shared" si="27"/>
        <v>15.132035525693304</v>
      </c>
      <c r="AD13" s="352">
        <f t="shared" si="28"/>
        <v>3635.3202146925591</v>
      </c>
      <c r="AE13" s="338">
        <f>(AD13-AD12)/AD12</f>
        <v>2.0724245304771851</v>
      </c>
      <c r="AF13" s="341">
        <f t="shared" si="29"/>
        <v>13225.399049455948</v>
      </c>
      <c r="AG13" s="338">
        <f>(AF13-AF12)/AF12</f>
        <v>2.414151015906171E-2</v>
      </c>
      <c r="AH13" s="651">
        <f t="shared" ref="AH13:AH34" si="32">AD13/AF13</f>
        <v>0.27487414187643017</v>
      </c>
      <c r="AI13" s="937">
        <f t="shared" si="30"/>
        <v>5.4529803220388388E-3</v>
      </c>
      <c r="AJ13" s="338">
        <f t="shared" ref="AJ13:AJ39" si="33">(AI13-AI12)/AI12</f>
        <v>8.2172735914315549</v>
      </c>
      <c r="AK13" s="352">
        <f t="shared" ref="AK13:AK39" si="34">AK12*(1+AL13)</f>
        <v>107232.0817890429</v>
      </c>
      <c r="AL13" s="338">
        <f>GlobalChipProd_ElecUse!AA14</f>
        <v>3.2641884693381806E-2</v>
      </c>
      <c r="AM13" s="1027" t="s">
        <v>45</v>
      </c>
      <c r="AN13" s="352">
        <f t="shared" ref="AN13:AN33" si="35">AI13+AK13</f>
        <v>107232.08724202322</v>
      </c>
      <c r="AO13" s="338">
        <f t="shared" ref="AO13:AO34" si="36">(AN13-AN12)/AN12</f>
        <v>3.2641931322326845E-2</v>
      </c>
      <c r="AP13" s="1027" t="s">
        <v>45</v>
      </c>
      <c r="AQ13" s="238">
        <f t="shared" ref="AQ13:AQ34" si="37">(AI13)/(AI13+AK13)</f>
        <v>5.0852132624551472E-8</v>
      </c>
      <c r="AR13" s="948">
        <v>61</v>
      </c>
      <c r="AS13" s="341">
        <v>391.04</v>
      </c>
      <c r="AT13" s="341">
        <v>88</v>
      </c>
      <c r="AU13" s="962"/>
      <c r="AV13" s="962">
        <v>208.3</v>
      </c>
      <c r="AW13" s="341">
        <v>31</v>
      </c>
      <c r="AX13" s="407">
        <v>3.4910000000000001</v>
      </c>
      <c r="AY13" s="407">
        <v>27.175999999999998</v>
      </c>
      <c r="AZ13" s="341">
        <v>251</v>
      </c>
      <c r="BA13" s="341">
        <v>53.1</v>
      </c>
      <c r="BB13" s="962"/>
      <c r="BC13" s="341">
        <v>46</v>
      </c>
      <c r="BD13" s="341">
        <v>25.1</v>
      </c>
      <c r="BE13" s="923">
        <v>3.23</v>
      </c>
      <c r="BF13" s="923">
        <v>39</v>
      </c>
      <c r="BG13" s="923">
        <v>16.2</v>
      </c>
      <c r="BH13" s="923">
        <v>12.6</v>
      </c>
      <c r="BI13" s="407">
        <v>0.20599999999999999</v>
      </c>
      <c r="BJ13" s="407">
        <v>4.7E-2</v>
      </c>
      <c r="BK13" s="407"/>
      <c r="BL13" s="407"/>
      <c r="BM13" s="407">
        <v>2.87</v>
      </c>
      <c r="BN13" s="407">
        <v>0.98</v>
      </c>
      <c r="BO13" s="407"/>
      <c r="BP13" s="407">
        <v>5.99</v>
      </c>
      <c r="BQ13" s="407">
        <v>33.619999999999997</v>
      </c>
      <c r="BR13" s="407">
        <v>74.914000000000001</v>
      </c>
      <c r="BS13" s="407">
        <v>18.71</v>
      </c>
      <c r="BT13" s="407">
        <v>21.68</v>
      </c>
      <c r="BU13" s="407">
        <v>9.66</v>
      </c>
      <c r="BV13" s="407"/>
      <c r="BW13" s="407">
        <v>23.72</v>
      </c>
      <c r="BX13" s="407">
        <v>71.040000000000006</v>
      </c>
      <c r="BY13" s="407">
        <v>41.03</v>
      </c>
      <c r="BZ13" s="407">
        <v>47.7</v>
      </c>
      <c r="CA13" s="962">
        <v>3.7</v>
      </c>
      <c r="CB13" s="407">
        <v>1</v>
      </c>
      <c r="CC13" s="407">
        <v>6.5000000000000002E-2</v>
      </c>
      <c r="CD13" s="341">
        <v>350.01799999999997</v>
      </c>
      <c r="CE13" s="341">
        <v>245.12</v>
      </c>
      <c r="CF13" s="341">
        <v>637.96</v>
      </c>
      <c r="CG13" s="341">
        <v>97.7</v>
      </c>
      <c r="CH13" s="407">
        <v>0.1</v>
      </c>
      <c r="CI13" s="962">
        <v>2.5</v>
      </c>
      <c r="CJ13" s="962">
        <v>13.1</v>
      </c>
      <c r="CK13" s="341">
        <v>130</v>
      </c>
      <c r="CL13" s="923">
        <v>0.20499999999999999</v>
      </c>
      <c r="CM13" s="197">
        <v>18.238</v>
      </c>
      <c r="CN13" s="197">
        <v>89.4</v>
      </c>
      <c r="CO13" s="407"/>
      <c r="CP13" s="407"/>
      <c r="CQ13" s="962">
        <v>5.3</v>
      </c>
      <c r="CR13" s="962">
        <v>107</v>
      </c>
      <c r="CS13" s="962">
        <v>51.2</v>
      </c>
      <c r="CT13" s="962">
        <v>118.2</v>
      </c>
      <c r="CU13" s="972"/>
    </row>
    <row r="14" spans="1:108" x14ac:dyDescent="0.35">
      <c r="B14" s="299">
        <v>2025</v>
      </c>
      <c r="C14" s="344">
        <v>0</v>
      </c>
      <c r="D14" s="340" t="s">
        <v>1064</v>
      </c>
      <c r="E14" s="197">
        <f>E13*(1+C14)</f>
        <v>2000000</v>
      </c>
      <c r="F14" s="341">
        <f>KeyChips!P17</f>
        <v>65000</v>
      </c>
      <c r="G14" s="341">
        <f t="shared" si="31"/>
        <v>130</v>
      </c>
      <c r="H14" s="296">
        <v>1</v>
      </c>
      <c r="I14" s="338" t="s">
        <v>45</v>
      </c>
      <c r="J14" s="197">
        <f>KeyChips!X17</f>
        <v>40000</v>
      </c>
      <c r="K14" s="197">
        <f t="shared" si="20"/>
        <v>80000</v>
      </c>
      <c r="L14" s="296">
        <v>1</v>
      </c>
      <c r="M14" s="197">
        <f>SUM(K11:K14)</f>
        <v>90092.9</v>
      </c>
      <c r="N14" s="296">
        <v>1</v>
      </c>
      <c r="O14" s="338" t="s">
        <v>45</v>
      </c>
      <c r="P14" s="196">
        <f>KeyChips!J17</f>
        <v>384</v>
      </c>
      <c r="Q14" s="196">
        <f t="shared" si="21"/>
        <v>768000</v>
      </c>
      <c r="R14" s="197">
        <f>SUM(Q11:Q14)</f>
        <v>972000</v>
      </c>
      <c r="S14" s="196">
        <f t="shared" si="22"/>
        <v>24183.917197452229</v>
      </c>
      <c r="T14" s="196">
        <f t="shared" si="23"/>
        <v>6983945.7364341086</v>
      </c>
      <c r="U14" s="340">
        <v>5</v>
      </c>
      <c r="V14" s="196">
        <f t="shared" ref="V14:V39" si="38">V13*(1+U14)</f>
        <v>6000</v>
      </c>
      <c r="W14" s="197">
        <f>SUM(V11:V14)</f>
        <v>7500</v>
      </c>
      <c r="X14" s="344">
        <f t="shared" ref="X14:X38" si="39">(W14-W13)/W13</f>
        <v>4</v>
      </c>
      <c r="Y14" s="196">
        <f t="shared" si="24"/>
        <v>8175338049.428442</v>
      </c>
      <c r="Z14" s="937">
        <f t="shared" si="25"/>
        <v>0.24</v>
      </c>
      <c r="AA14" s="984">
        <v>5.5E-2</v>
      </c>
      <c r="AB14" s="988">
        <f t="shared" si="26"/>
        <v>0.85235401432852609</v>
      </c>
      <c r="AC14" s="923">
        <f t="shared" si="27"/>
        <v>15.49734571506411</v>
      </c>
      <c r="AD14" s="352">
        <f t="shared" si="28"/>
        <v>6825.6509467428368</v>
      </c>
      <c r="AE14" s="338">
        <f t="shared" ref="AE14:AG34" si="40">(AD14-AD13)/AD13</f>
        <v>0.8775927686249464</v>
      </c>
      <c r="AF14" s="341">
        <f t="shared" si="29"/>
        <v>13544.680154966032</v>
      </c>
      <c r="AG14" s="338">
        <f t="shared" si="40"/>
        <v>2.4141510159061623E-2</v>
      </c>
      <c r="AH14" s="651">
        <f t="shared" si="32"/>
        <v>0.50393592677345544</v>
      </c>
      <c r="AI14" s="973">
        <f t="shared" si="30"/>
        <v>5.1192382100571275E-2</v>
      </c>
      <c r="AJ14" s="338">
        <f t="shared" si="33"/>
        <v>8.3879638431247319</v>
      </c>
      <c r="AK14" s="352">
        <f t="shared" si="34"/>
        <v>110732.33903823212</v>
      </c>
      <c r="AL14" s="338">
        <f>GlobalChipProd_ElecUse!AA15</f>
        <v>3.2641884693381806E-2</v>
      </c>
      <c r="AM14" s="1027">
        <v>1</v>
      </c>
      <c r="AN14" s="352">
        <f t="shared" si="35"/>
        <v>110732.39023061423</v>
      </c>
      <c r="AO14" s="338">
        <f t="shared" si="36"/>
        <v>3.2642309579322189E-2</v>
      </c>
      <c r="AP14" s="1027">
        <v>1</v>
      </c>
      <c r="AQ14" s="238">
        <f t="shared" si="37"/>
        <v>4.6230720743909399E-7</v>
      </c>
      <c r="AR14" s="948">
        <v>130.5</v>
      </c>
      <c r="AS14" s="341"/>
      <c r="AT14" s="341">
        <v>112</v>
      </c>
      <c r="AU14" s="962"/>
      <c r="AV14" s="962"/>
      <c r="AW14" s="341"/>
      <c r="AX14" s="407"/>
      <c r="AY14" s="407">
        <v>27.635000000000002</v>
      </c>
      <c r="AZ14" s="341"/>
      <c r="BA14" s="341"/>
      <c r="BB14" s="962"/>
      <c r="BC14" s="341"/>
      <c r="BD14" s="341"/>
      <c r="BE14" s="341"/>
      <c r="BF14" s="341"/>
      <c r="BG14" s="341"/>
      <c r="BH14" s="341"/>
      <c r="BI14" s="407"/>
      <c r="BJ14" s="407"/>
      <c r="BK14" s="407"/>
      <c r="BL14" s="407"/>
      <c r="BM14" s="407"/>
      <c r="BN14" s="407"/>
      <c r="BO14" s="407"/>
      <c r="BP14" s="407"/>
      <c r="BQ14" s="407"/>
      <c r="BR14" s="407"/>
      <c r="BS14" s="407"/>
      <c r="BT14" s="407"/>
      <c r="BU14" s="407"/>
      <c r="BV14" s="407"/>
      <c r="BW14" s="407"/>
      <c r="BX14" s="407"/>
      <c r="BY14" s="407"/>
      <c r="BZ14" s="407"/>
      <c r="CA14" s="962">
        <v>12.7</v>
      </c>
      <c r="CB14" s="407"/>
      <c r="CC14" s="407"/>
      <c r="CD14" s="407"/>
      <c r="CE14" s="407"/>
      <c r="CF14" s="407"/>
      <c r="CG14" s="341"/>
      <c r="CH14" s="407"/>
      <c r="CI14" s="962">
        <v>2.2999999999999998</v>
      </c>
      <c r="CJ14" s="962"/>
      <c r="CK14" s="341"/>
      <c r="CL14" s="341"/>
      <c r="CM14" s="197"/>
      <c r="CN14" s="197"/>
      <c r="CO14" s="407"/>
      <c r="CP14" s="407"/>
      <c r="CQ14" s="962"/>
      <c r="CR14" s="962"/>
      <c r="CS14" s="962"/>
      <c r="CT14" s="962"/>
      <c r="CU14" s="972"/>
    </row>
    <row r="15" spans="1:108" x14ac:dyDescent="0.35">
      <c r="B15" s="149">
        <v>2026</v>
      </c>
      <c r="C15" s="4">
        <v>0.6</v>
      </c>
      <c r="D15" s="405" t="s">
        <v>1064</v>
      </c>
      <c r="E15" s="2">
        <f>E14*(1+C15)</f>
        <v>3200000</v>
      </c>
      <c r="F15" s="185">
        <v>62000</v>
      </c>
      <c r="G15" s="184">
        <f t="shared" si="31"/>
        <v>198.4</v>
      </c>
      <c r="H15" s="83">
        <f>H14*(1+(G15-G14)/G14)</f>
        <v>1.5261538461538462</v>
      </c>
      <c r="I15" s="250" t="s">
        <v>45</v>
      </c>
      <c r="J15" s="2">
        <f>KeyChips!X17</f>
        <v>40000</v>
      </c>
      <c r="K15" s="2">
        <f t="shared" si="20"/>
        <v>128000</v>
      </c>
      <c r="L15" s="83">
        <f>L14*(1+(K15-K14)/K14)</f>
        <v>1.6</v>
      </c>
      <c r="M15" s="2">
        <f>SUM(K11:K15)</f>
        <v>218092.9</v>
      </c>
      <c r="N15" s="83">
        <f>N14*(1+(M15-M14)/M14)</f>
        <v>2.4207556866301339</v>
      </c>
      <c r="O15" s="250" t="s">
        <v>45</v>
      </c>
      <c r="P15" s="34">
        <f>KeyChips!J17</f>
        <v>384</v>
      </c>
      <c r="Q15" s="34">
        <f t="shared" si="21"/>
        <v>1228800</v>
      </c>
      <c r="R15" s="2">
        <f>SUM(Q11:Q15)</f>
        <v>2200800</v>
      </c>
      <c r="S15" s="172">
        <f t="shared" si="22"/>
        <v>54757.165605095543</v>
      </c>
      <c r="T15" s="172">
        <f t="shared" si="23"/>
        <v>16906426.356589146</v>
      </c>
      <c r="U15" s="940">
        <v>5</v>
      </c>
      <c r="V15" s="939">
        <f t="shared" si="38"/>
        <v>36000</v>
      </c>
      <c r="W15" s="64">
        <f>SUM(V11:V15)</f>
        <v>43500</v>
      </c>
      <c r="X15" s="1017">
        <f t="shared" si="39"/>
        <v>4.8</v>
      </c>
      <c r="Y15" s="172">
        <f t="shared" si="24"/>
        <v>8243193355.238698</v>
      </c>
      <c r="Z15" s="941">
        <f t="shared" si="25"/>
        <v>1.44</v>
      </c>
      <c r="AA15" s="985">
        <v>0.1</v>
      </c>
      <c r="AB15" s="956">
        <f t="shared" si="26"/>
        <v>1.5871475044082819</v>
      </c>
      <c r="AC15" s="955">
        <f t="shared" si="27"/>
        <v>15.871475044082819</v>
      </c>
      <c r="AD15" s="942">
        <f t="shared" si="28"/>
        <v>12709.877215301522</v>
      </c>
      <c r="AE15" s="959">
        <f t="shared" si="40"/>
        <v>0.86207547301647547</v>
      </c>
      <c r="AF15" s="957">
        <f t="shared" si="29"/>
        <v>13871.669188528385</v>
      </c>
      <c r="AG15" s="959">
        <f t="shared" si="40"/>
        <v>2.4141510159061647E-2</v>
      </c>
      <c r="AH15" s="1016">
        <f t="shared" si="32"/>
        <v>0.91624713958810056</v>
      </c>
      <c r="AI15" s="982">
        <f t="shared" si="30"/>
        <v>0.55287965886561619</v>
      </c>
      <c r="AJ15" s="959">
        <f t="shared" si="33"/>
        <v>9.8000377434955581</v>
      </c>
      <c r="AK15" s="942">
        <f t="shared" si="34"/>
        <v>114346.85128094656</v>
      </c>
      <c r="AL15" s="959">
        <f>GlobalChipProd_ElecUse!AA16</f>
        <v>3.2641884693381806E-2</v>
      </c>
      <c r="AM15" s="1028">
        <f t="shared" ref="AM15:AM33" si="41">AM14*(1+AL15)</f>
        <v>1.0326418846933818</v>
      </c>
      <c r="AN15" s="942">
        <f t="shared" si="35"/>
        <v>114347.40416060542</v>
      </c>
      <c r="AO15" s="959">
        <f t="shared" si="36"/>
        <v>3.2646400230885227E-2</v>
      </c>
      <c r="AP15" s="1028">
        <f>AP14*(1+AO15)</f>
        <v>1.0326464002308853</v>
      </c>
      <c r="AQ15" s="943">
        <f t="shared" si="37"/>
        <v>4.835087100788707E-6</v>
      </c>
      <c r="AR15" s="949"/>
      <c r="AS15" s="185"/>
      <c r="AT15" s="185"/>
      <c r="AU15" s="185"/>
      <c r="AV15" s="185"/>
      <c r="AW15" s="185"/>
      <c r="AX15" s="185"/>
      <c r="AY15" s="185"/>
      <c r="AZ15" s="185"/>
      <c r="BA15" s="185"/>
      <c r="BB15" s="408"/>
      <c r="BC15" s="185"/>
      <c r="BD15" s="185"/>
      <c r="BE15" s="185"/>
      <c r="BF15" s="185"/>
      <c r="BG15" s="185"/>
      <c r="BH15" s="185"/>
      <c r="BI15" s="185"/>
      <c r="BJ15" s="185"/>
      <c r="BK15" s="185"/>
      <c r="BL15" s="185"/>
      <c r="BM15" s="185"/>
      <c r="BN15" s="185"/>
      <c r="BO15" s="185"/>
      <c r="BP15" s="185"/>
      <c r="BQ15" s="185"/>
      <c r="BR15" s="185"/>
      <c r="BS15" s="185"/>
      <c r="BT15" s="185"/>
      <c r="BU15" s="185"/>
      <c r="BV15" s="185"/>
      <c r="BW15" s="185"/>
      <c r="BX15" s="185"/>
      <c r="BY15" s="185"/>
      <c r="BZ15" s="185"/>
      <c r="CA15" s="185"/>
      <c r="CB15" s="185"/>
      <c r="CC15" s="185"/>
      <c r="CD15" s="185"/>
      <c r="CE15" s="185"/>
      <c r="CF15" s="185"/>
      <c r="CG15" s="185"/>
      <c r="CH15" s="185"/>
      <c r="CI15" s="185"/>
      <c r="CJ15" s="185"/>
      <c r="CK15" s="185"/>
      <c r="CL15" s="185"/>
      <c r="CM15" s="185"/>
      <c r="CN15" s="185"/>
      <c r="CO15" s="185"/>
      <c r="CP15" s="185"/>
      <c r="CQ15" s="185"/>
      <c r="CR15" s="185"/>
      <c r="CS15" s="185"/>
      <c r="CT15" s="185"/>
      <c r="CU15" s="932"/>
    </row>
    <row r="16" spans="1:108" x14ac:dyDescent="0.35">
      <c r="B16" s="149">
        <v>2027</v>
      </c>
      <c r="C16" s="4">
        <v>0.5</v>
      </c>
      <c r="D16" s="34" t="str">
        <f>D15</f>
        <v>GB200</v>
      </c>
      <c r="E16" s="2">
        <f t="shared" ref="E16:E33" si="42">E15*(1+C16)</f>
        <v>4800000</v>
      </c>
      <c r="F16" s="185">
        <v>60000</v>
      </c>
      <c r="G16" s="184">
        <f t="shared" si="31"/>
        <v>288</v>
      </c>
      <c r="H16" s="83">
        <f t="shared" ref="H16:H39" si="43">H15*(1+(G16-G15)/G15)</f>
        <v>2.2153846153846155</v>
      </c>
      <c r="I16" s="56">
        <f>Calc_Moores_Law!D16</f>
        <v>0.38704901651406454</v>
      </c>
      <c r="J16" s="2">
        <f>J15*(1+I16)</f>
        <v>55481.960660562581</v>
      </c>
      <c r="K16" s="2">
        <f t="shared" si="20"/>
        <v>266313.41117070039</v>
      </c>
      <c r="L16" s="83">
        <f t="shared" ref="L16:N39" si="44">L15*(1+(K16-K15)/K15)</f>
        <v>3.3289176396337554</v>
      </c>
      <c r="M16" s="2">
        <f>SUM(K11:K16)</f>
        <v>484406.31117070036</v>
      </c>
      <c r="N16" s="83">
        <f t="shared" si="44"/>
        <v>5.3767423534007701</v>
      </c>
      <c r="O16" s="56">
        <f>Calc_Moores_Law!Q21</f>
        <v>0.32630024571767025</v>
      </c>
      <c r="P16" s="34">
        <f>P15*(1+O16)</f>
        <v>509.2992943555854</v>
      </c>
      <c r="Q16" s="34">
        <f t="shared" si="21"/>
        <v>2444636.6129068099</v>
      </c>
      <c r="R16" s="2">
        <f>SUM(Q11:Q16)</f>
        <v>4645436.6129068099</v>
      </c>
      <c r="S16" s="172">
        <f t="shared" si="22"/>
        <v>115581.12591826258</v>
      </c>
      <c r="T16" s="172">
        <f t="shared" si="23"/>
        <v>37550876.834938012</v>
      </c>
      <c r="U16" s="940">
        <v>4</v>
      </c>
      <c r="V16" s="939">
        <f t="shared" si="38"/>
        <v>180000</v>
      </c>
      <c r="W16" s="939">
        <f t="shared" ref="W16:W28" si="45">SUM(V11:V16)</f>
        <v>223500</v>
      </c>
      <c r="X16" s="1017">
        <f t="shared" si="39"/>
        <v>4.1379310344827589</v>
      </c>
      <c r="Y16" s="172">
        <f t="shared" si="24"/>
        <v>8311611860.0871792</v>
      </c>
      <c r="Z16" s="942">
        <f t="shared" si="25"/>
        <v>7.2</v>
      </c>
      <c r="AA16" s="986">
        <v>0.18</v>
      </c>
      <c r="AB16" s="956">
        <f t="shared" si="26"/>
        <v>2.9296825698747337</v>
      </c>
      <c r="AC16" s="955">
        <f t="shared" si="27"/>
        <v>16.276014277081856</v>
      </c>
      <c r="AD16" s="942">
        <f t="shared" si="28"/>
        <v>23460.898019556869</v>
      </c>
      <c r="AE16" s="959">
        <f t="shared" si="40"/>
        <v>0.84587920261826832</v>
      </c>
      <c r="AF16" s="957">
        <f t="shared" si="29"/>
        <v>14225.236478169541</v>
      </c>
      <c r="AG16" s="959">
        <f t="shared" si="40"/>
        <v>2.5488445899037857E-2</v>
      </c>
      <c r="AH16" s="1016">
        <f t="shared" si="32"/>
        <v>1.6492448512585813</v>
      </c>
      <c r="AI16" s="942">
        <f t="shared" si="30"/>
        <v>5.2435107073709606</v>
      </c>
      <c r="AJ16" s="959">
        <f t="shared" si="33"/>
        <v>8.4840000410386889</v>
      </c>
      <c r="AK16" s="942">
        <f t="shared" si="34"/>
        <v>118234.64422449874</v>
      </c>
      <c r="AL16" s="959">
        <f>GlobalChipProd_ElecUse!AA17</f>
        <v>3.4000000000000002E-2</v>
      </c>
      <c r="AM16" s="1028">
        <f t="shared" si="41"/>
        <v>1.0677517087729569</v>
      </c>
      <c r="AN16" s="942">
        <f t="shared" si="35"/>
        <v>118239.88773520611</v>
      </c>
      <c r="AO16" s="959">
        <f t="shared" si="36"/>
        <v>3.4040856486200075E-2</v>
      </c>
      <c r="AP16" s="1028">
        <f t="shared" ref="AP16:AP34" si="46">AP15*(1+AO16)</f>
        <v>1.067798568142136</v>
      </c>
      <c r="AQ16" s="943">
        <f t="shared" si="37"/>
        <v>4.4346377587177777E-5</v>
      </c>
      <c r="AR16" s="949"/>
      <c r="AS16" s="185"/>
      <c r="AT16" s="185"/>
      <c r="AU16" s="185"/>
      <c r="AV16" s="185"/>
      <c r="AW16" s="185"/>
      <c r="AX16" s="185"/>
      <c r="AY16" s="185"/>
      <c r="AZ16" s="185"/>
      <c r="BA16" s="185"/>
      <c r="BB16" s="408"/>
      <c r="BC16" s="185"/>
      <c r="BD16" s="185"/>
      <c r="BE16" s="185"/>
      <c r="BF16" s="185"/>
      <c r="BG16" s="185"/>
      <c r="BH16" s="185"/>
      <c r="BI16" s="185"/>
      <c r="BJ16" s="185"/>
      <c r="BK16" s="185"/>
      <c r="BL16" s="185"/>
      <c r="BM16" s="185"/>
      <c r="BN16" s="185"/>
      <c r="BO16" s="185"/>
      <c r="BP16" s="185"/>
      <c r="BQ16" s="185"/>
      <c r="BR16" s="185"/>
      <c r="BS16" s="185"/>
      <c r="BT16" s="185"/>
      <c r="BU16" s="185"/>
      <c r="BV16" s="185"/>
      <c r="BW16" s="185"/>
      <c r="BX16" s="185"/>
      <c r="BY16" s="185"/>
      <c r="BZ16" s="185"/>
      <c r="CA16" s="185"/>
      <c r="CB16" s="185"/>
      <c r="CC16" s="185"/>
      <c r="CD16" s="185"/>
      <c r="CE16" s="185"/>
      <c r="CF16" s="185"/>
      <c r="CG16" s="185"/>
      <c r="CH16" s="185"/>
      <c r="CI16" s="185"/>
      <c r="CJ16" s="185"/>
      <c r="CK16" s="185"/>
      <c r="CL16" s="185"/>
      <c r="CM16" s="185"/>
      <c r="CN16" s="185"/>
      <c r="CO16" s="185"/>
      <c r="CP16" s="185"/>
      <c r="CQ16" s="185"/>
      <c r="CR16" s="185"/>
      <c r="CS16" s="185"/>
      <c r="CT16" s="185"/>
      <c r="CU16" s="932"/>
    </row>
    <row r="17" spans="2:99" x14ac:dyDescent="0.35">
      <c r="B17" s="149">
        <v>2028</v>
      </c>
      <c r="C17" s="4">
        <v>0.3</v>
      </c>
      <c r="D17" s="34" t="str">
        <f t="shared" ref="D17:D39" si="47">D16</f>
        <v>GB200</v>
      </c>
      <c r="E17" s="2">
        <f t="shared" si="42"/>
        <v>6240000</v>
      </c>
      <c r="F17" s="185">
        <v>57000</v>
      </c>
      <c r="G17" s="184">
        <f t="shared" si="31"/>
        <v>355.68</v>
      </c>
      <c r="H17" s="83">
        <f t="shared" si="43"/>
        <v>2.7360000000000002</v>
      </c>
      <c r="I17" s="56">
        <f>Calc_Moores_Law!D17</f>
        <v>0.38704901651406454</v>
      </c>
      <c r="J17" s="2">
        <f t="shared" ref="J17:J33" si="48">J16*(1+I17)</f>
        <v>76956.198968505341</v>
      </c>
      <c r="K17" s="2">
        <f t="shared" si="20"/>
        <v>480206.68156347331</v>
      </c>
      <c r="L17" s="83">
        <f t="shared" si="44"/>
        <v>6.0025835195434167</v>
      </c>
      <c r="M17" s="2">
        <f>SUM(K12:K17)</f>
        <v>964612.99273417366</v>
      </c>
      <c r="N17" s="83">
        <f t="shared" si="44"/>
        <v>10.706870272065538</v>
      </c>
      <c r="O17" s="56">
        <f>Calc_Moores_Law!Q22</f>
        <v>0.32630024571767025</v>
      </c>
      <c r="P17" s="34">
        <f t="shared" ref="P17:P33" si="49">P16*(1+O17)</f>
        <v>675.48377924764895</v>
      </c>
      <c r="Q17" s="34">
        <f t="shared" si="21"/>
        <v>4215018.7825053297</v>
      </c>
      <c r="R17" s="34">
        <f t="shared" ref="R17:R33" si="50">SUM(Q12:Q17)</f>
        <v>8860455.3954121396</v>
      </c>
      <c r="S17" s="172">
        <f t="shared" si="22"/>
        <v>220453.20947980045</v>
      </c>
      <c r="T17" s="172">
        <f t="shared" si="23"/>
        <v>74776200.987145245</v>
      </c>
      <c r="U17" s="940">
        <v>3</v>
      </c>
      <c r="V17" s="939">
        <f t="shared" si="38"/>
        <v>720000</v>
      </c>
      <c r="W17" s="939">
        <f t="shared" si="45"/>
        <v>943500</v>
      </c>
      <c r="X17" s="1017">
        <f t="shared" si="39"/>
        <v>3.2214765100671139</v>
      </c>
      <c r="Y17" s="172">
        <f t="shared" si="24"/>
        <v>8380598238.5259027</v>
      </c>
      <c r="Z17" s="942">
        <f t="shared" si="25"/>
        <v>28.8</v>
      </c>
      <c r="AA17" s="986">
        <v>0.3</v>
      </c>
      <c r="AB17" s="956">
        <f t="shared" si="26"/>
        <v>5.0072593759305688</v>
      </c>
      <c r="AC17" s="955">
        <f t="shared" si="27"/>
        <v>16.690864586435229</v>
      </c>
      <c r="AD17" s="942">
        <f t="shared" si="28"/>
        <v>40098.133082451997</v>
      </c>
      <c r="AE17" s="959">
        <f t="shared" si="40"/>
        <v>0.70914740983173041</v>
      </c>
      <c r="AF17" s="957">
        <f t="shared" si="29"/>
        <v>14587.815648544389</v>
      </c>
      <c r="AG17" s="959">
        <f t="shared" si="40"/>
        <v>2.5488445899038079E-2</v>
      </c>
      <c r="AH17" s="1016">
        <f t="shared" si="32"/>
        <v>2.7487414187643027</v>
      </c>
      <c r="AI17" s="942">
        <f t="shared" si="30"/>
        <v>37.832588563293456</v>
      </c>
      <c r="AJ17" s="959">
        <f t="shared" si="33"/>
        <v>6.2151256428466999</v>
      </c>
      <c r="AK17" s="942">
        <f t="shared" si="34"/>
        <v>122254.6221281317</v>
      </c>
      <c r="AL17" s="959">
        <f>GlobalChipProd_ElecUse!AA18</f>
        <v>3.4000000000000002E-2</v>
      </c>
      <c r="AM17" s="1028">
        <f t="shared" si="41"/>
        <v>1.1040552668712376</v>
      </c>
      <c r="AN17" s="942">
        <f t="shared" si="35"/>
        <v>122292.45471669499</v>
      </c>
      <c r="AO17" s="959">
        <f t="shared" si="36"/>
        <v>3.4274110531671488E-2</v>
      </c>
      <c r="AP17" s="1028">
        <f t="shared" si="46"/>
        <v>1.1043964142922003</v>
      </c>
      <c r="AQ17" s="943">
        <f t="shared" si="37"/>
        <v>3.0936159267501125E-4</v>
      </c>
      <c r="AR17" s="949"/>
      <c r="AS17" s="185"/>
      <c r="AT17" s="185"/>
      <c r="AU17" s="185"/>
      <c r="AV17" s="185"/>
      <c r="AW17" s="185"/>
      <c r="AX17" s="185"/>
      <c r="AY17" s="185"/>
      <c r="AZ17" s="185"/>
      <c r="BA17" s="185"/>
      <c r="BB17" s="408"/>
      <c r="BC17" s="185"/>
      <c r="BD17" s="185"/>
      <c r="BE17" s="185"/>
      <c r="BF17" s="185"/>
      <c r="BG17" s="185"/>
      <c r="BH17" s="185"/>
      <c r="BI17" s="185"/>
      <c r="BJ17" s="185"/>
      <c r="BK17" s="185"/>
      <c r="BL17" s="185"/>
      <c r="BM17" s="185"/>
      <c r="BN17" s="185"/>
      <c r="BO17" s="185"/>
      <c r="BP17" s="185"/>
      <c r="BQ17" s="185"/>
      <c r="BR17" s="185"/>
      <c r="BS17" s="185"/>
      <c r="BT17" s="185"/>
      <c r="BU17" s="185"/>
      <c r="BV17" s="185"/>
      <c r="BW17" s="185"/>
      <c r="BX17" s="185"/>
      <c r="BY17" s="185"/>
      <c r="BZ17" s="185"/>
      <c r="CA17" s="185"/>
      <c r="CB17" s="185"/>
      <c r="CC17" s="185"/>
      <c r="CD17" s="185"/>
      <c r="CE17" s="185"/>
      <c r="CF17" s="185"/>
      <c r="CG17" s="185"/>
      <c r="CH17" s="185"/>
      <c r="CI17" s="185"/>
      <c r="CJ17" s="185"/>
      <c r="CK17" s="185"/>
      <c r="CL17" s="185"/>
      <c r="CM17" s="185"/>
      <c r="CN17" s="185"/>
      <c r="CO17" s="185"/>
      <c r="CP17" s="185"/>
      <c r="CQ17" s="185"/>
      <c r="CR17" s="185"/>
      <c r="CS17" s="185"/>
      <c r="CT17" s="185"/>
      <c r="CU17" s="932"/>
    </row>
    <row r="18" spans="2:99" x14ac:dyDescent="0.35">
      <c r="B18" s="517">
        <v>2029</v>
      </c>
      <c r="C18" s="657">
        <f>C17*(1+C$8)</f>
        <v>0.3</v>
      </c>
      <c r="D18" s="230" t="str">
        <f t="shared" si="47"/>
        <v>GB200</v>
      </c>
      <c r="E18" s="91">
        <f>E17*(1+C18)</f>
        <v>8112000</v>
      </c>
      <c r="F18" s="520">
        <v>55000</v>
      </c>
      <c r="G18" s="520">
        <f t="shared" si="31"/>
        <v>446.16</v>
      </c>
      <c r="H18" s="660">
        <f t="shared" si="43"/>
        <v>3.4320000000000004</v>
      </c>
      <c r="I18" s="519">
        <f>Calc_Moores_Law!D18</f>
        <v>0.38704901651406454</v>
      </c>
      <c r="J18" s="91">
        <f t="shared" si="48"/>
        <v>106742.020093926</v>
      </c>
      <c r="K18" s="91">
        <f t="shared" si="20"/>
        <v>865891.26700192771</v>
      </c>
      <c r="L18" s="660">
        <f t="shared" si="44"/>
        <v>10.823640837524097</v>
      </c>
      <c r="M18" s="91">
        <f t="shared" ref="M18:M33" si="51">SUM(K13:K18)</f>
        <v>1828327.3597361012</v>
      </c>
      <c r="N18" s="660">
        <f t="shared" si="44"/>
        <v>20.293800729425968</v>
      </c>
      <c r="O18" s="519">
        <f>Calc_Moores_Law!Q23</f>
        <v>0.32630024571767025</v>
      </c>
      <c r="P18" s="230">
        <f t="shared" si="49"/>
        <v>895.89430239445733</v>
      </c>
      <c r="Q18" s="230">
        <f t="shared" si="21"/>
        <v>7267494.5810238384</v>
      </c>
      <c r="R18" s="230">
        <f>SUM(Q13:Q18)</f>
        <v>16083949.976435978</v>
      </c>
      <c r="S18" s="230">
        <f t="shared" si="22"/>
        <v>400177.89551243972</v>
      </c>
      <c r="T18" s="230">
        <f t="shared" si="23"/>
        <v>141730803.08031794</v>
      </c>
      <c r="U18" s="936">
        <v>2</v>
      </c>
      <c r="V18" s="230">
        <f>V17*(1+U18)</f>
        <v>2160000</v>
      </c>
      <c r="W18" s="230">
        <f t="shared" si="45"/>
        <v>3103000</v>
      </c>
      <c r="X18" s="657">
        <f>(W18-W17)/W17</f>
        <v>2.2888182299947006</v>
      </c>
      <c r="Y18" s="230">
        <f t="shared" si="24"/>
        <v>8450157203.9056673</v>
      </c>
      <c r="Z18" s="583">
        <f t="shared" si="25"/>
        <v>86.4</v>
      </c>
      <c r="AA18" s="987">
        <v>0.5</v>
      </c>
      <c r="AB18" s="958">
        <f t="shared" si="26"/>
        <v>8.5664211281168594</v>
      </c>
      <c r="AC18" s="648">
        <f t="shared" si="27"/>
        <v>17.132842256233719</v>
      </c>
      <c r="AD18" s="583">
        <f t="shared" si="28"/>
        <v>68599.900393959819</v>
      </c>
      <c r="AE18" s="518">
        <f>(AD18-AD17)/AD17</f>
        <v>0.71080035703659605</v>
      </c>
      <c r="AF18" s="520">
        <f t="shared" si="29"/>
        <v>14974.10413194827</v>
      </c>
      <c r="AG18" s="518">
        <f>(AF18-AF17)/AF17</f>
        <v>2.6480214221957645E-2</v>
      </c>
      <c r="AH18" s="991">
        <f t="shared" si="32"/>
        <v>4.581235697940504</v>
      </c>
      <c r="AI18" s="583">
        <f t="shared" si="30"/>
        <v>212.8654909224573</v>
      </c>
      <c r="AJ18" s="518">
        <f t="shared" si="33"/>
        <v>4.6265114021033993</v>
      </c>
      <c r="AK18" s="583">
        <f t="shared" si="34"/>
        <v>126533.5339026163</v>
      </c>
      <c r="AL18" s="518">
        <f>GlobalChipProd_ElecUse!AA19</f>
        <v>3.5000000000000003E-2</v>
      </c>
      <c r="AM18" s="585">
        <f t="shared" si="41"/>
        <v>1.1426972012117307</v>
      </c>
      <c r="AN18" s="583">
        <f t="shared" si="35"/>
        <v>126746.39939353876</v>
      </c>
      <c r="AO18" s="518">
        <f t="shared" si="36"/>
        <v>3.6420437280140099E-2</v>
      </c>
      <c r="AP18" s="585">
        <f t="shared" si="46"/>
        <v>1.1446190146313409</v>
      </c>
      <c r="AQ18" s="665">
        <f t="shared" si="37"/>
        <v>1.6794598658501118E-3</v>
      </c>
      <c r="AR18" s="950"/>
      <c r="AS18" s="520"/>
      <c r="AT18" s="520"/>
      <c r="AU18" s="520"/>
      <c r="AV18" s="520"/>
      <c r="AW18" s="520"/>
      <c r="AX18" s="520"/>
      <c r="AY18" s="520"/>
      <c r="AZ18" s="520"/>
      <c r="BA18" s="520"/>
      <c r="BB18" s="963"/>
      <c r="BC18" s="520"/>
      <c r="BD18" s="520"/>
      <c r="BE18" s="520"/>
      <c r="BF18" s="520"/>
      <c r="BG18" s="520"/>
      <c r="BH18" s="520"/>
      <c r="BI18" s="520"/>
      <c r="BJ18" s="520"/>
      <c r="BK18" s="520"/>
      <c r="BL18" s="520"/>
      <c r="BM18" s="520"/>
      <c r="BN18" s="520"/>
      <c r="BO18" s="520"/>
      <c r="BP18" s="520"/>
      <c r="BQ18" s="520"/>
      <c r="BR18" s="520"/>
      <c r="BS18" s="520"/>
      <c r="BT18" s="520"/>
      <c r="BU18" s="520"/>
      <c r="BV18" s="520"/>
      <c r="BW18" s="520"/>
      <c r="BX18" s="520"/>
      <c r="BY18" s="520"/>
      <c r="BZ18" s="520"/>
      <c r="CA18" s="520"/>
      <c r="CB18" s="520"/>
      <c r="CC18" s="520"/>
      <c r="CD18" s="520"/>
      <c r="CE18" s="520"/>
      <c r="CF18" s="520"/>
      <c r="CG18" s="520"/>
      <c r="CH18" s="520"/>
      <c r="CI18" s="520"/>
      <c r="CJ18" s="520"/>
      <c r="CK18" s="520"/>
      <c r="CL18" s="520"/>
      <c r="CM18" s="520"/>
      <c r="CN18" s="520"/>
      <c r="CO18" s="520"/>
      <c r="CP18" s="520"/>
      <c r="CQ18" s="520"/>
      <c r="CR18" s="520"/>
      <c r="CS18" s="520"/>
      <c r="CT18" s="520"/>
      <c r="CU18" s="658"/>
    </row>
    <row r="19" spans="2:99" x14ac:dyDescent="0.35">
      <c r="B19" s="149">
        <v>2030</v>
      </c>
      <c r="C19" s="4">
        <v>0.25</v>
      </c>
      <c r="D19" s="34" t="str">
        <f t="shared" si="47"/>
        <v>GB200</v>
      </c>
      <c r="E19" s="2">
        <f>E18*(1+C19)</f>
        <v>10140000</v>
      </c>
      <c r="F19" s="185">
        <v>52000</v>
      </c>
      <c r="G19" s="184">
        <f t="shared" si="31"/>
        <v>527.28</v>
      </c>
      <c r="H19" s="83">
        <f t="shared" si="43"/>
        <v>4.056</v>
      </c>
      <c r="I19" s="56">
        <f>Calc_Moores_Law!D19</f>
        <v>0.38704901651406454</v>
      </c>
      <c r="J19" s="2">
        <f t="shared" si="48"/>
        <v>148056.41399200456</v>
      </c>
      <c r="K19" s="2">
        <f t="shared" si="20"/>
        <v>1501292.0378789264</v>
      </c>
      <c r="L19" s="83">
        <f t="shared" si="44"/>
        <v>18.766150473486579</v>
      </c>
      <c r="M19" s="2">
        <f t="shared" si="51"/>
        <v>3321703.3976150276</v>
      </c>
      <c r="N19" s="83">
        <f t="shared" si="44"/>
        <v>36.869757745782707</v>
      </c>
      <c r="O19" s="56">
        <f>Calc_Moores_Law!Q24</f>
        <v>0.32630024571767025</v>
      </c>
      <c r="P19" s="34">
        <f t="shared" si="49"/>
        <v>1188.2248334028295</v>
      </c>
      <c r="Q19" s="34">
        <f t="shared" si="21"/>
        <v>12048599.810704691</v>
      </c>
      <c r="R19" s="34">
        <f t="shared" si="50"/>
        <v>27972549.787140667</v>
      </c>
      <c r="S19" s="172">
        <f t="shared" si="22"/>
        <v>695973.07392368303</v>
      </c>
      <c r="T19" s="172">
        <f t="shared" si="23"/>
        <v>257496387.41201767</v>
      </c>
      <c r="U19" s="940">
        <v>1.5</v>
      </c>
      <c r="V19" s="939">
        <f t="shared" si="38"/>
        <v>5400000</v>
      </c>
      <c r="W19" s="939">
        <f t="shared" si="45"/>
        <v>8502000</v>
      </c>
      <c r="X19" s="1017">
        <f t="shared" si="39"/>
        <v>1.7399291008701256</v>
      </c>
      <c r="Y19" s="172">
        <f t="shared" si="24"/>
        <v>8520293508.6980839</v>
      </c>
      <c r="Z19" s="942">
        <f t="shared" si="25"/>
        <v>216</v>
      </c>
      <c r="AA19" s="986">
        <v>0.6</v>
      </c>
      <c r="AB19" s="956">
        <f t="shared" si="26"/>
        <v>10.562109239784668</v>
      </c>
      <c r="AC19" s="955">
        <f t="shared" si="27"/>
        <v>17.603515399641115</v>
      </c>
      <c r="AD19" s="942">
        <f t="shared" si="28"/>
        <v>84581.370792195623</v>
      </c>
      <c r="AE19" s="959">
        <f t="shared" si="40"/>
        <v>0.23296637905385301</v>
      </c>
      <c r="AF19" s="957">
        <f t="shared" si="29"/>
        <v>15385.472459286335</v>
      </c>
      <c r="AG19" s="959">
        <f t="shared" si="40"/>
        <v>2.7471982544877756E-2</v>
      </c>
      <c r="AH19" s="1016">
        <f t="shared" si="32"/>
        <v>5.4974828375286036</v>
      </c>
      <c r="AI19" s="942">
        <f t="shared" si="30"/>
        <v>719.11081447524714</v>
      </c>
      <c r="AJ19" s="959">
        <f t="shared" si="33"/>
        <v>2.378240462364118</v>
      </c>
      <c r="AK19" s="942">
        <f t="shared" si="34"/>
        <v>131088.74112311049</v>
      </c>
      <c r="AL19" s="959">
        <f>GlobalChipProd_ElecUse!AA20</f>
        <v>3.5999999999999997E-2</v>
      </c>
      <c r="AM19" s="1028">
        <f t="shared" si="41"/>
        <v>1.1838343004553531</v>
      </c>
      <c r="AN19" s="942">
        <f t="shared" si="35"/>
        <v>131807.85193758574</v>
      </c>
      <c r="AO19" s="959">
        <f t="shared" si="36"/>
        <v>3.9933698852710836E-2</v>
      </c>
      <c r="AP19" s="1028">
        <f t="shared" si="46"/>
        <v>1.1903278856627153</v>
      </c>
      <c r="AQ19" s="943">
        <f t="shared" si="37"/>
        <v>5.4557509579608639E-3</v>
      </c>
      <c r="AR19" s="949"/>
      <c r="AS19" s="185"/>
      <c r="AT19" s="185"/>
      <c r="AU19" s="185"/>
      <c r="AV19" s="185"/>
      <c r="AW19" s="185"/>
      <c r="AX19" s="185"/>
      <c r="AY19" s="185"/>
      <c r="AZ19" s="185"/>
      <c r="BA19" s="185"/>
      <c r="BB19" s="408"/>
      <c r="BC19" s="185"/>
      <c r="BD19" s="185"/>
      <c r="BE19" s="185"/>
      <c r="BF19" s="185"/>
      <c r="BG19" s="185"/>
      <c r="BH19" s="185"/>
      <c r="BI19" s="185"/>
      <c r="BJ19" s="185"/>
      <c r="BK19" s="185"/>
      <c r="BL19" s="185"/>
      <c r="BM19" s="185"/>
      <c r="BN19" s="185"/>
      <c r="BO19" s="185"/>
      <c r="BP19" s="185"/>
      <c r="BQ19" s="185"/>
      <c r="BR19" s="185"/>
      <c r="BS19" s="185"/>
      <c r="BT19" s="185"/>
      <c r="BU19" s="185"/>
      <c r="BV19" s="185"/>
      <c r="BW19" s="185"/>
      <c r="BX19" s="185"/>
      <c r="BY19" s="185"/>
      <c r="BZ19" s="185"/>
      <c r="CA19" s="185"/>
      <c r="CB19" s="185"/>
      <c r="CC19" s="185"/>
      <c r="CD19" s="185"/>
      <c r="CE19" s="185"/>
      <c r="CF19" s="185"/>
      <c r="CG19" s="185"/>
      <c r="CH19" s="185"/>
      <c r="CI19" s="185"/>
      <c r="CJ19" s="185"/>
      <c r="CK19" s="185"/>
      <c r="CL19" s="185"/>
      <c r="CM19" s="185"/>
      <c r="CN19" s="185"/>
      <c r="CO19" s="185"/>
      <c r="CP19" s="185"/>
      <c r="CQ19" s="185"/>
      <c r="CR19" s="185"/>
      <c r="CS19" s="185"/>
      <c r="CT19" s="185"/>
      <c r="CU19" s="932"/>
    </row>
    <row r="20" spans="2:99" x14ac:dyDescent="0.35">
      <c r="B20" s="149">
        <v>2031</v>
      </c>
      <c r="C20" s="4">
        <f t="shared" ref="C20:C21" si="52">C19*(1+C$8)</f>
        <v>0.25</v>
      </c>
      <c r="D20" s="34" t="str">
        <f t="shared" si="47"/>
        <v>GB200</v>
      </c>
      <c r="E20" s="2">
        <f>E19*(1+C20)</f>
        <v>12675000</v>
      </c>
      <c r="F20" s="185">
        <v>50000</v>
      </c>
      <c r="G20" s="184">
        <f t="shared" si="31"/>
        <v>633.75</v>
      </c>
      <c r="H20" s="83">
        <f t="shared" si="43"/>
        <v>4.8750000000000009</v>
      </c>
      <c r="I20" s="56">
        <f>Calc_Moores_Law!D20</f>
        <v>0.38704901651406454</v>
      </c>
      <c r="J20" s="2">
        <f t="shared" si="48"/>
        <v>205361.5034162091</v>
      </c>
      <c r="K20" s="2">
        <f t="shared" si="20"/>
        <v>2602957.05580045</v>
      </c>
      <c r="L20" s="83">
        <f t="shared" si="44"/>
        <v>32.536963197505621</v>
      </c>
      <c r="M20" s="2">
        <f t="shared" si="51"/>
        <v>5844660.4534154776</v>
      </c>
      <c r="N20" s="83">
        <f t="shared" si="44"/>
        <v>64.873707621971064</v>
      </c>
      <c r="O20" s="56">
        <f>Calc_Moores_Law!Q25</f>
        <v>0.32630024571767025</v>
      </c>
      <c r="P20" s="34">
        <f t="shared" si="49"/>
        <v>1575.9428885100106</v>
      </c>
      <c r="Q20" s="34">
        <f t="shared" si="21"/>
        <v>19975076.111864384</v>
      </c>
      <c r="R20" s="34">
        <f t="shared" si="50"/>
        <v>47179625.899005055</v>
      </c>
      <c r="S20" s="172">
        <f t="shared" si="22"/>
        <v>1173856.1380126656</v>
      </c>
      <c r="T20" s="172">
        <f t="shared" si="23"/>
        <v>453074453.75313777</v>
      </c>
      <c r="U20" s="940">
        <v>1.2</v>
      </c>
      <c r="V20" s="939">
        <f t="shared" si="38"/>
        <v>11880000.000000002</v>
      </c>
      <c r="W20" s="939">
        <f t="shared" si="45"/>
        <v>20376000</v>
      </c>
      <c r="X20" s="1017">
        <f t="shared" si="39"/>
        <v>1.3966125617501763</v>
      </c>
      <c r="Y20" s="172">
        <f t="shared" si="24"/>
        <v>8591011944.8202782</v>
      </c>
      <c r="Z20" s="942">
        <f t="shared" si="25"/>
        <v>475.20000000000005</v>
      </c>
      <c r="AA20" s="986">
        <v>0.75</v>
      </c>
      <c r="AB20" s="956">
        <f t="shared" si="26"/>
        <v>13.578433107280446</v>
      </c>
      <c r="AC20" s="955">
        <f t="shared" si="27"/>
        <v>18.10457747637393</v>
      </c>
      <c r="AD20" s="942">
        <f t="shared" si="28"/>
        <v>108736.09232310181</v>
      </c>
      <c r="AE20" s="959">
        <f t="shared" si="40"/>
        <v>0.28557968858474636</v>
      </c>
      <c r="AF20" s="957">
        <f t="shared" si="29"/>
        <v>15823.400714350813</v>
      </c>
      <c r="AG20" s="959">
        <f t="shared" si="40"/>
        <v>2.8463750867797011E-2</v>
      </c>
      <c r="AH20" s="1016">
        <f t="shared" si="32"/>
        <v>6.8718535469107547</v>
      </c>
      <c r="AI20" s="942">
        <f t="shared" si="30"/>
        <v>2215.6066171755224</v>
      </c>
      <c r="AJ20" s="959">
        <f t="shared" si="33"/>
        <v>2.0810364307930831</v>
      </c>
      <c r="AK20" s="942">
        <f t="shared" si="34"/>
        <v>135939.02454466556</v>
      </c>
      <c r="AL20" s="959">
        <f>GlobalChipProd_ElecUse!AA21</f>
        <v>3.6999999999999998E-2</v>
      </c>
      <c r="AM20" s="1028">
        <f t="shared" si="41"/>
        <v>1.2276361695722011</v>
      </c>
      <c r="AN20" s="942">
        <f t="shared" si="35"/>
        <v>138154.63116184107</v>
      </c>
      <c r="AO20" s="959">
        <f t="shared" si="36"/>
        <v>4.8151753715405983E-2</v>
      </c>
      <c r="AP20" s="1028">
        <f t="shared" si="46"/>
        <v>1.2476442608537262</v>
      </c>
      <c r="AQ20" s="943">
        <f t="shared" si="37"/>
        <v>1.6037150535909671E-2</v>
      </c>
      <c r="AR20" s="949"/>
      <c r="AS20" s="185"/>
      <c r="AT20" s="185"/>
      <c r="AU20" s="185"/>
      <c r="AV20" s="185"/>
      <c r="AW20" s="185"/>
      <c r="AX20" s="185"/>
      <c r="AY20" s="185"/>
      <c r="AZ20" s="185"/>
      <c r="BA20" s="185"/>
      <c r="BB20" s="408"/>
      <c r="BC20" s="185"/>
      <c r="BD20" s="185"/>
      <c r="BE20" s="185"/>
      <c r="BF20" s="185"/>
      <c r="BG20" s="185"/>
      <c r="BH20" s="185"/>
      <c r="BI20" s="185"/>
      <c r="BJ20" s="185"/>
      <c r="BK20" s="185"/>
      <c r="BL20" s="185"/>
      <c r="BM20" s="185"/>
      <c r="BN20" s="185"/>
      <c r="BO20" s="185"/>
      <c r="BP20" s="185"/>
      <c r="BQ20" s="185"/>
      <c r="BR20" s="185"/>
      <c r="BS20" s="185"/>
      <c r="BT20" s="185"/>
      <c r="BU20" s="185"/>
      <c r="BV20" s="185"/>
      <c r="BW20" s="185"/>
      <c r="BX20" s="185"/>
      <c r="BY20" s="185"/>
      <c r="BZ20" s="185"/>
      <c r="CA20" s="185"/>
      <c r="CB20" s="185"/>
      <c r="CC20" s="185"/>
      <c r="CD20" s="185"/>
      <c r="CE20" s="185"/>
      <c r="CF20" s="185"/>
      <c r="CG20" s="185"/>
      <c r="CH20" s="185"/>
      <c r="CI20" s="185"/>
      <c r="CJ20" s="185"/>
      <c r="CK20" s="185"/>
      <c r="CL20" s="185"/>
      <c r="CM20" s="185"/>
      <c r="CN20" s="185"/>
      <c r="CO20" s="185"/>
      <c r="CP20" s="185"/>
      <c r="CQ20" s="185"/>
      <c r="CR20" s="185"/>
      <c r="CS20" s="185"/>
      <c r="CT20" s="185"/>
      <c r="CU20" s="932"/>
    </row>
    <row r="21" spans="2:99" x14ac:dyDescent="0.35">
      <c r="B21" s="149">
        <v>2032</v>
      </c>
      <c r="C21" s="4">
        <f t="shared" si="52"/>
        <v>0.25</v>
      </c>
      <c r="D21" s="34" t="str">
        <f t="shared" si="47"/>
        <v>GB200</v>
      </c>
      <c r="E21" s="2">
        <f t="shared" si="42"/>
        <v>15843750</v>
      </c>
      <c r="F21" s="185">
        <v>45000</v>
      </c>
      <c r="G21" s="184">
        <f t="shared" si="31"/>
        <v>712.96875</v>
      </c>
      <c r="H21" s="83">
        <f t="shared" si="43"/>
        <v>5.4843750000000009</v>
      </c>
      <c r="I21" s="56">
        <f>Calc_Moores_Law!D21</f>
        <v>0.38704901651406454</v>
      </c>
      <c r="J21" s="2">
        <f t="shared" si="48"/>
        <v>284846.47134330252</v>
      </c>
      <c r="K21" s="2">
        <f t="shared" si="20"/>
        <v>4513036.2803454492</v>
      </c>
      <c r="L21" s="83">
        <f t="shared" si="44"/>
        <v>56.412953504318111</v>
      </c>
      <c r="M21" s="2">
        <f t="shared" si="51"/>
        <v>10229696.733760927</v>
      </c>
      <c r="N21" s="83">
        <f t="shared" si="44"/>
        <v>113.54609224212925</v>
      </c>
      <c r="O21" s="56">
        <f>Calc_Moores_Law!Q26</f>
        <v>0.32630024571767025</v>
      </c>
      <c r="P21" s="34">
        <f t="shared" si="49"/>
        <v>2090.1734402678421</v>
      </c>
      <c r="Q21" s="34">
        <f t="shared" si="21"/>
        <v>33116185.444243621</v>
      </c>
      <c r="R21" s="34">
        <f t="shared" si="50"/>
        <v>79067011.34324868</v>
      </c>
      <c r="S21" s="172">
        <f t="shared" si="22"/>
        <v>1967232.5672583771</v>
      </c>
      <c r="T21" s="172">
        <f t="shared" si="23"/>
        <v>792999746.80317271</v>
      </c>
      <c r="U21" s="940">
        <v>1</v>
      </c>
      <c r="V21" s="939">
        <f t="shared" si="38"/>
        <v>23760000.000000004</v>
      </c>
      <c r="W21" s="939">
        <f t="shared" si="45"/>
        <v>44100000</v>
      </c>
      <c r="X21" s="1017">
        <f t="shared" si="39"/>
        <v>1.1643109540636043</v>
      </c>
      <c r="Y21" s="172">
        <f t="shared" si="24"/>
        <v>8662317343.962286</v>
      </c>
      <c r="Z21" s="942">
        <f t="shared" si="25"/>
        <v>950.40000000000009</v>
      </c>
      <c r="AA21" s="986">
        <v>0.9</v>
      </c>
      <c r="AB21" s="956">
        <f t="shared" si="26"/>
        <v>16.806391468695821</v>
      </c>
      <c r="AC21" s="955">
        <f t="shared" si="27"/>
        <v>18.673768298550915</v>
      </c>
      <c r="AD21" s="942">
        <f t="shared" si="28"/>
        <v>134585.58288131614</v>
      </c>
      <c r="AE21" s="959">
        <f t="shared" si="40"/>
        <v>0.23772686700386791</v>
      </c>
      <c r="AF21" s="957">
        <f t="shared" si="29"/>
        <v>16320.873492933499</v>
      </c>
      <c r="AG21" s="959">
        <f t="shared" si="40"/>
        <v>3.1439055836556637E-2</v>
      </c>
      <c r="AH21" s="1016">
        <f t="shared" si="32"/>
        <v>8.2462242562929049</v>
      </c>
      <c r="AI21" s="942">
        <f t="shared" si="30"/>
        <v>5935.2242050660416</v>
      </c>
      <c r="AJ21" s="959">
        <f t="shared" si="33"/>
        <v>1.6788258163952972</v>
      </c>
      <c r="AK21" s="942">
        <f t="shared" si="34"/>
        <v>141376.5855264522</v>
      </c>
      <c r="AL21" s="959">
        <f>GlobalChipProd_ElecUse!AA22</f>
        <v>0.04</v>
      </c>
      <c r="AM21" s="1028">
        <f t="shared" si="41"/>
        <v>1.2767416163550893</v>
      </c>
      <c r="AN21" s="942">
        <f t="shared" si="35"/>
        <v>147311.80973151824</v>
      </c>
      <c r="AO21" s="959">
        <f t="shared" si="36"/>
        <v>6.6282096319666653E-2</v>
      </c>
      <c r="AP21" s="1028">
        <f t="shared" si="46"/>
        <v>1.3303407379243122</v>
      </c>
      <c r="AQ21" s="943">
        <f t="shared" si="37"/>
        <v>4.0290213092101908E-2</v>
      </c>
      <c r="AR21" s="949"/>
      <c r="AS21" s="185"/>
      <c r="AT21" s="185"/>
      <c r="AU21" s="185"/>
      <c r="AV21" s="185"/>
      <c r="AW21" s="185"/>
      <c r="AX21" s="185"/>
      <c r="AY21" s="185"/>
      <c r="AZ21" s="185"/>
      <c r="BA21" s="185"/>
      <c r="BB21" s="408"/>
      <c r="BC21" s="185"/>
      <c r="BD21" s="185"/>
      <c r="BE21" s="185"/>
      <c r="BF21" s="185"/>
      <c r="BG21" s="185"/>
      <c r="BH21" s="185"/>
      <c r="BI21" s="185"/>
      <c r="BJ21" s="185"/>
      <c r="BK21" s="185"/>
      <c r="BL21" s="185"/>
      <c r="BM21" s="185"/>
      <c r="BN21" s="185"/>
      <c r="BO21" s="185"/>
      <c r="BP21" s="185"/>
      <c r="BQ21" s="185"/>
      <c r="BR21" s="185"/>
      <c r="BS21" s="185"/>
      <c r="BT21" s="185"/>
      <c r="BU21" s="185"/>
      <c r="BV21" s="185"/>
      <c r="BW21" s="185"/>
      <c r="BX21" s="185"/>
      <c r="BY21" s="185"/>
      <c r="BZ21" s="185"/>
      <c r="CA21" s="185"/>
      <c r="CB21" s="185"/>
      <c r="CC21" s="185"/>
      <c r="CD21" s="185"/>
      <c r="CE21" s="185"/>
      <c r="CF21" s="185"/>
      <c r="CG21" s="185"/>
      <c r="CH21" s="185"/>
      <c r="CI21" s="185"/>
      <c r="CJ21" s="185"/>
      <c r="CK21" s="185"/>
      <c r="CL21" s="185"/>
      <c r="CM21" s="185"/>
      <c r="CN21" s="185"/>
      <c r="CO21" s="185"/>
      <c r="CP21" s="185"/>
      <c r="CQ21" s="185"/>
      <c r="CR21" s="185"/>
      <c r="CS21" s="185"/>
      <c r="CT21" s="185"/>
      <c r="CU21" s="932"/>
    </row>
    <row r="22" spans="2:99" x14ac:dyDescent="0.35">
      <c r="B22" s="149">
        <v>2033</v>
      </c>
      <c r="C22" s="4">
        <f t="shared" ref="C22" si="53">C21*(1+C$8)</f>
        <v>0.25</v>
      </c>
      <c r="D22" s="34" t="str">
        <f t="shared" si="47"/>
        <v>GB200</v>
      </c>
      <c r="E22" s="2">
        <f t="shared" si="42"/>
        <v>19804687.5</v>
      </c>
      <c r="F22" s="185">
        <v>40000</v>
      </c>
      <c r="G22" s="184">
        <f t="shared" si="31"/>
        <v>792.1875</v>
      </c>
      <c r="H22" s="83">
        <f t="shared" si="43"/>
        <v>6.0937500000000009</v>
      </c>
      <c r="I22" s="56">
        <f>Calc_Moores_Law!D22</f>
        <v>0.15</v>
      </c>
      <c r="J22" s="2">
        <f t="shared" si="48"/>
        <v>327573.44204479788</v>
      </c>
      <c r="K22" s="2">
        <f t="shared" si="20"/>
        <v>6487489.6529965829</v>
      </c>
      <c r="L22" s="83">
        <f t="shared" si="44"/>
        <v>81.093620662457283</v>
      </c>
      <c r="M22" s="2">
        <f t="shared" si="51"/>
        <v>16450872.975586809</v>
      </c>
      <c r="N22" s="83">
        <f t="shared" si="44"/>
        <v>182.59899476636679</v>
      </c>
      <c r="O22" s="56">
        <f>Calc_Moores_Law!Q27</f>
        <v>0.32630024571767025</v>
      </c>
      <c r="P22" s="34">
        <f t="shared" si="49"/>
        <v>2772.197547419787</v>
      </c>
      <c r="Q22" s="34">
        <f t="shared" si="21"/>
        <v>54902506.114915311</v>
      </c>
      <c r="R22" s="34">
        <f t="shared" si="50"/>
        <v>131524880.84525718</v>
      </c>
      <c r="S22" s="172">
        <f t="shared" si="22"/>
        <v>3272414.4318585084</v>
      </c>
      <c r="T22" s="172">
        <f t="shared" si="23"/>
        <v>1275261470.9757216</v>
      </c>
      <c r="U22" s="940">
        <v>0.9</v>
      </c>
      <c r="V22" s="939">
        <f t="shared" si="38"/>
        <v>45144000.000000007</v>
      </c>
      <c r="W22" s="939">
        <f t="shared" si="45"/>
        <v>89064000</v>
      </c>
      <c r="X22" s="1017">
        <f t="shared" si="39"/>
        <v>1.0195918367346939</v>
      </c>
      <c r="Y22" s="172">
        <f t="shared" si="24"/>
        <v>8734214577.9171734</v>
      </c>
      <c r="Z22" s="942">
        <f t="shared" si="25"/>
        <v>1805.7600000000002</v>
      </c>
      <c r="AA22" s="986">
        <v>1</v>
      </c>
      <c r="AB22" s="956">
        <f t="shared" si="26"/>
        <v>19.353454202108207</v>
      </c>
      <c r="AC22" s="955">
        <f t="shared" si="27"/>
        <v>19.353454202108207</v>
      </c>
      <c r="AD22" s="942">
        <f t="shared" si="28"/>
        <v>154982.46125048251</v>
      </c>
      <c r="AE22" s="959">
        <f t="shared" si="40"/>
        <v>0.15155321939017266</v>
      </c>
      <c r="AF22" s="957">
        <f t="shared" si="29"/>
        <v>16914.918972642572</v>
      </c>
      <c r="AG22" s="959">
        <f t="shared" si="40"/>
        <v>3.6397897451155362E-2</v>
      </c>
      <c r="AH22" s="1016">
        <f t="shared" si="32"/>
        <v>9.1624713958810062</v>
      </c>
      <c r="AI22" s="942">
        <f t="shared" si="30"/>
        <v>13803.357928812975</v>
      </c>
      <c r="AJ22" s="959">
        <f t="shared" si="33"/>
        <v>1.3256674814459488</v>
      </c>
      <c r="AK22" s="942">
        <f t="shared" si="34"/>
        <v>147738.53187514254</v>
      </c>
      <c r="AL22" s="959">
        <f>GlobalChipProd_ElecUse!AA23</f>
        <v>4.4999999999999998E-2</v>
      </c>
      <c r="AM22" s="1028">
        <f t="shared" si="41"/>
        <v>1.3341949890910683</v>
      </c>
      <c r="AN22" s="942">
        <f t="shared" si="35"/>
        <v>161541.88980395551</v>
      </c>
      <c r="AO22" s="959">
        <f t="shared" si="36"/>
        <v>9.6598365727582652E-2</v>
      </c>
      <c r="AP22" s="1028">
        <f t="shared" si="46"/>
        <v>1.4588494790686271</v>
      </c>
      <c r="AQ22" s="943">
        <f t="shared" si="37"/>
        <v>8.5447545188214E-2</v>
      </c>
      <c r="AR22" s="949"/>
      <c r="AS22" s="185"/>
      <c r="AT22" s="185"/>
      <c r="AU22" s="185"/>
      <c r="AV22" s="185"/>
      <c r="AW22" s="185"/>
      <c r="AX22" s="185"/>
      <c r="AY22" s="185"/>
      <c r="AZ22" s="185"/>
      <c r="BA22" s="185"/>
      <c r="BB22" s="408"/>
      <c r="BC22" s="185"/>
      <c r="BD22" s="185"/>
      <c r="BE22" s="185"/>
      <c r="BF22" s="185"/>
      <c r="BG22" s="185"/>
      <c r="BH22" s="185"/>
      <c r="BI22" s="185"/>
      <c r="BJ22" s="185"/>
      <c r="BK22" s="185"/>
      <c r="BL22" s="185"/>
      <c r="BM22" s="185"/>
      <c r="BN22" s="185"/>
      <c r="BO22" s="185"/>
      <c r="BP22" s="185"/>
      <c r="BQ22" s="185"/>
      <c r="BR22" s="185"/>
      <c r="BS22" s="185"/>
      <c r="BT22" s="185"/>
      <c r="BU22" s="185"/>
      <c r="BV22" s="185"/>
      <c r="BW22" s="185"/>
      <c r="BX22" s="185"/>
      <c r="BY22" s="185"/>
      <c r="BZ22" s="185"/>
      <c r="CA22" s="185"/>
      <c r="CB22" s="185"/>
      <c r="CC22" s="185"/>
      <c r="CD22" s="185"/>
      <c r="CE22" s="185"/>
      <c r="CF22" s="185"/>
      <c r="CG22" s="185"/>
      <c r="CH22" s="185"/>
      <c r="CI22" s="185"/>
      <c r="CJ22" s="185"/>
      <c r="CK22" s="185"/>
      <c r="CL22" s="185"/>
      <c r="CM22" s="185"/>
      <c r="CN22" s="185"/>
      <c r="CO22" s="185"/>
      <c r="CP22" s="185"/>
      <c r="CQ22" s="185"/>
      <c r="CR22" s="185"/>
      <c r="CS22" s="185"/>
      <c r="CT22" s="185"/>
      <c r="CU22" s="932"/>
    </row>
    <row r="23" spans="2:99" x14ac:dyDescent="0.35">
      <c r="B23" s="149">
        <v>2034</v>
      </c>
      <c r="C23" s="4">
        <f t="shared" ref="C23" si="54">C22*(1+C$8)</f>
        <v>0.25</v>
      </c>
      <c r="D23" s="34" t="str">
        <f t="shared" si="47"/>
        <v>GB200</v>
      </c>
      <c r="E23" s="2">
        <f t="shared" si="42"/>
        <v>24755859.375</v>
      </c>
      <c r="F23" s="185">
        <v>35000</v>
      </c>
      <c r="G23" s="184">
        <f t="shared" si="31"/>
        <v>866.455078125</v>
      </c>
      <c r="H23" s="83">
        <f t="shared" si="43"/>
        <v>6.6650390625000009</v>
      </c>
      <c r="I23" s="56">
        <f>Calc_Moores_Law!D23</f>
        <v>0.15</v>
      </c>
      <c r="J23" s="2">
        <f t="shared" si="48"/>
        <v>376709.4583515175</v>
      </c>
      <c r="K23" s="2">
        <f t="shared" si="20"/>
        <v>9325766.376182586</v>
      </c>
      <c r="L23" s="83">
        <f t="shared" si="44"/>
        <v>116.57207970228232</v>
      </c>
      <c r="M23" s="2">
        <f t="shared" si="51"/>
        <v>25296432.670205921</v>
      </c>
      <c r="N23" s="83">
        <f t="shared" si="44"/>
        <v>280.78164505977628</v>
      </c>
      <c r="O23" s="56">
        <f>Calc_Moores_Law!Q28</f>
        <v>0.32630024571767025</v>
      </c>
      <c r="P23" s="34">
        <f t="shared" si="49"/>
        <v>3676.7662883207863</v>
      </c>
      <c r="Q23" s="34">
        <f t="shared" si="21"/>
        <v>91021509.188410088</v>
      </c>
      <c r="R23" s="34">
        <f t="shared" si="50"/>
        <v>218331371.25116193</v>
      </c>
      <c r="S23" s="172">
        <f t="shared" si="22"/>
        <v>5432209.674839817</v>
      </c>
      <c r="T23" s="172">
        <f t="shared" si="23"/>
        <v>1960963772.8841801</v>
      </c>
      <c r="U23" s="940">
        <v>0.9</v>
      </c>
      <c r="V23" s="939">
        <f t="shared" si="38"/>
        <v>85773600.000000015</v>
      </c>
      <c r="W23" s="939">
        <f t="shared" si="45"/>
        <v>174117600</v>
      </c>
      <c r="X23" s="1017">
        <f t="shared" si="39"/>
        <v>0.95497170573969281</v>
      </c>
      <c r="Y23" s="172">
        <f t="shared" si="24"/>
        <v>8806708558.9138851</v>
      </c>
      <c r="Z23" s="942">
        <f t="shared" si="25"/>
        <v>3430.9440000000004</v>
      </c>
      <c r="AA23" s="986">
        <v>1.1000000000000001</v>
      </c>
      <c r="AB23" s="956">
        <f t="shared" si="26"/>
        <v>22.169234953322409</v>
      </c>
      <c r="AC23" s="955">
        <f t="shared" si="27"/>
        <v>20.153849957565825</v>
      </c>
      <c r="AD23" s="942">
        <f t="shared" si="28"/>
        <v>177531.23350620584</v>
      </c>
      <c r="AE23" s="959">
        <f t="shared" si="40"/>
        <v>0.14549241297233001</v>
      </c>
      <c r="AF23" s="957">
        <f t="shared" si="29"/>
        <v>17614.464862912533</v>
      </c>
      <c r="AG23" s="959">
        <f t="shared" si="40"/>
        <v>4.135673906575462E-2</v>
      </c>
      <c r="AH23" s="1016">
        <f t="shared" si="32"/>
        <v>10.078718535469106</v>
      </c>
      <c r="AI23" s="942">
        <f t="shared" si="30"/>
        <v>30911.312303140148</v>
      </c>
      <c r="AJ23" s="959">
        <f t="shared" si="33"/>
        <v>1.2394052565003926</v>
      </c>
      <c r="AK23" s="942">
        <f t="shared" si="34"/>
        <v>155125.45846889968</v>
      </c>
      <c r="AL23" s="959">
        <f>GlobalChipProd_ElecUse!AA24</f>
        <v>0.05</v>
      </c>
      <c r="AM23" s="1028">
        <f t="shared" si="41"/>
        <v>1.4009047385456217</v>
      </c>
      <c r="AN23" s="942">
        <f t="shared" si="35"/>
        <v>186036.77077203983</v>
      </c>
      <c r="AO23" s="959">
        <f t="shared" si="36"/>
        <v>0.15163175940191673</v>
      </c>
      <c r="AP23" s="1028">
        <f t="shared" si="46"/>
        <v>1.6800573922823727</v>
      </c>
      <c r="AQ23" s="943">
        <f t="shared" si="37"/>
        <v>0.16615700312825429</v>
      </c>
      <c r="AR23" s="949"/>
      <c r="AS23" s="185"/>
      <c r="AT23" s="185"/>
      <c r="AU23" s="185"/>
      <c r="AV23" s="185"/>
      <c r="AW23" s="185"/>
      <c r="AX23" s="185"/>
      <c r="AY23" s="185"/>
      <c r="AZ23" s="185"/>
      <c r="BA23" s="185"/>
      <c r="BB23" s="408"/>
      <c r="BC23" s="185"/>
      <c r="BD23" s="185"/>
      <c r="BE23" s="185"/>
      <c r="BF23" s="185"/>
      <c r="BG23" s="185"/>
      <c r="BH23" s="185"/>
      <c r="BI23" s="185"/>
      <c r="BJ23" s="185"/>
      <c r="BK23" s="185"/>
      <c r="BL23" s="185"/>
      <c r="BM23" s="185"/>
      <c r="BN23" s="185"/>
      <c r="BO23" s="185"/>
      <c r="BP23" s="185"/>
      <c r="BQ23" s="185"/>
      <c r="BR23" s="185"/>
      <c r="BS23" s="185"/>
      <c r="BT23" s="185"/>
      <c r="BU23" s="185"/>
      <c r="BV23" s="185"/>
      <c r="BW23" s="185"/>
      <c r="BX23" s="185"/>
      <c r="BY23" s="185"/>
      <c r="BZ23" s="185"/>
      <c r="CA23" s="185"/>
      <c r="CB23" s="185"/>
      <c r="CC23" s="185"/>
      <c r="CD23" s="185"/>
      <c r="CE23" s="185"/>
      <c r="CF23" s="185"/>
      <c r="CG23" s="185"/>
      <c r="CH23" s="185"/>
      <c r="CI23" s="185"/>
      <c r="CJ23" s="185"/>
      <c r="CK23" s="185"/>
      <c r="CL23" s="185"/>
      <c r="CM23" s="185"/>
      <c r="CN23" s="185"/>
      <c r="CO23" s="185"/>
      <c r="CP23" s="185"/>
      <c r="CQ23" s="185"/>
      <c r="CR23" s="185"/>
      <c r="CS23" s="185"/>
      <c r="CT23" s="185"/>
      <c r="CU23" s="932"/>
    </row>
    <row r="24" spans="2:99" x14ac:dyDescent="0.35">
      <c r="B24" s="517">
        <v>2035</v>
      </c>
      <c r="C24" s="657">
        <f t="shared" ref="C24" si="55">C23*(1+C$8)</f>
        <v>0.25</v>
      </c>
      <c r="D24" s="230" t="str">
        <f t="shared" si="47"/>
        <v>GB200</v>
      </c>
      <c r="E24" s="91">
        <f t="shared" si="42"/>
        <v>30944824.21875</v>
      </c>
      <c r="F24" s="520">
        <v>30000</v>
      </c>
      <c r="G24" s="520">
        <f t="shared" si="31"/>
        <v>928.3447265625</v>
      </c>
      <c r="H24" s="660">
        <f t="shared" si="43"/>
        <v>7.1411132812500009</v>
      </c>
      <c r="I24" s="519">
        <f>Calc_Moores_Law!D24</f>
        <v>0.15</v>
      </c>
      <c r="J24" s="91">
        <f t="shared" si="48"/>
        <v>433215.87710424507</v>
      </c>
      <c r="K24" s="91">
        <f t="shared" si="20"/>
        <v>13405789.165762467</v>
      </c>
      <c r="L24" s="660">
        <f t="shared" si="44"/>
        <v>167.57236457203084</v>
      </c>
      <c r="M24" s="91">
        <f t="shared" si="51"/>
        <v>37836330.568966463</v>
      </c>
      <c r="N24" s="660">
        <f t="shared" si="44"/>
        <v>419.97017044591149</v>
      </c>
      <c r="O24" s="519">
        <f>Calc_Moores_Law!Q29</f>
        <v>0.32630024571767025</v>
      </c>
      <c r="P24" s="230">
        <f t="shared" si="49"/>
        <v>4876.4960316463057</v>
      </c>
      <c r="Q24" s="230">
        <f t="shared" si="21"/>
        <v>150902312.50272685</v>
      </c>
      <c r="R24" s="230">
        <f t="shared" si="50"/>
        <v>361966189.17286491</v>
      </c>
      <c r="S24" s="230">
        <f t="shared" si="22"/>
        <v>9005926.283162443</v>
      </c>
      <c r="T24" s="230">
        <f t="shared" si="23"/>
        <v>2933048881.3152294</v>
      </c>
      <c r="U24" s="936">
        <v>0.8</v>
      </c>
      <c r="V24" s="230">
        <f t="shared" si="38"/>
        <v>154392480.00000003</v>
      </c>
      <c r="W24" s="230">
        <f t="shared" si="45"/>
        <v>326350080</v>
      </c>
      <c r="X24" s="657">
        <f t="shared" si="39"/>
        <v>0.87430839846172936</v>
      </c>
      <c r="Y24" s="230">
        <f t="shared" si="24"/>
        <v>8879804239.9528694</v>
      </c>
      <c r="Z24" s="583">
        <f t="shared" si="25"/>
        <v>6175.6992000000009</v>
      </c>
      <c r="AA24" s="987">
        <v>1.2</v>
      </c>
      <c r="AB24" s="958">
        <f t="shared" si="26"/>
        <v>25.424672365390993</v>
      </c>
      <c r="AC24" s="648">
        <f t="shared" si="27"/>
        <v>21.187226971159159</v>
      </c>
      <c r="AD24" s="583">
        <f t="shared" si="28"/>
        <v>203600.77630205106</v>
      </c>
      <c r="AE24" s="518">
        <f t="shared" si="40"/>
        <v>0.14684482432176604</v>
      </c>
      <c r="AF24" s="520">
        <f t="shared" si="29"/>
        <v>18517.636372793106</v>
      </c>
      <c r="AG24" s="518">
        <f t="shared" si="40"/>
        <v>5.1274422294952091E-2</v>
      </c>
      <c r="AH24" s="991">
        <f t="shared" si="32"/>
        <v>10.994965675057209</v>
      </c>
      <c r="AI24" s="583">
        <f t="shared" si="30"/>
        <v>66445.129634236466</v>
      </c>
      <c r="AJ24" s="518">
        <f t="shared" si="33"/>
        <v>1.1495408859586524</v>
      </c>
      <c r="AK24" s="583">
        <f t="shared" si="34"/>
        <v>164432.98597703368</v>
      </c>
      <c r="AL24" s="518">
        <f>GlobalChipProd_ElecUse!AA25</f>
        <v>0.06</v>
      </c>
      <c r="AM24" s="585">
        <f t="shared" si="41"/>
        <v>1.4849590228583591</v>
      </c>
      <c r="AN24" s="583">
        <f t="shared" si="35"/>
        <v>230878.11561127013</v>
      </c>
      <c r="AO24" s="518">
        <f t="shared" si="36"/>
        <v>0.24103484839659273</v>
      </c>
      <c r="AP24" s="585">
        <f t="shared" si="46"/>
        <v>2.0850097711287292</v>
      </c>
      <c r="AQ24" s="665">
        <f t="shared" si="37"/>
        <v>0.28779310441926093</v>
      </c>
      <c r="AR24" s="950"/>
      <c r="AS24" s="520"/>
      <c r="AT24" s="520"/>
      <c r="AU24" s="520"/>
      <c r="AV24" s="520"/>
      <c r="AW24" s="520"/>
      <c r="AX24" s="520"/>
      <c r="AY24" s="520"/>
      <c r="AZ24" s="520"/>
      <c r="BA24" s="520"/>
      <c r="BB24" s="963"/>
      <c r="BC24" s="520"/>
      <c r="BD24" s="520"/>
      <c r="BE24" s="520"/>
      <c r="BF24" s="520"/>
      <c r="BG24" s="520"/>
      <c r="BH24" s="520"/>
      <c r="BI24" s="520"/>
      <c r="BJ24" s="520"/>
      <c r="BK24" s="520"/>
      <c r="BL24" s="520"/>
      <c r="BM24" s="520"/>
      <c r="BN24" s="520"/>
      <c r="BO24" s="520"/>
      <c r="BP24" s="520"/>
      <c r="BQ24" s="520"/>
      <c r="BR24" s="520"/>
      <c r="BS24" s="520"/>
      <c r="BT24" s="520"/>
      <c r="BU24" s="520"/>
      <c r="BV24" s="520"/>
      <c r="BW24" s="520"/>
      <c r="BX24" s="520"/>
      <c r="BY24" s="520"/>
      <c r="BZ24" s="520"/>
      <c r="CA24" s="520"/>
      <c r="CB24" s="520"/>
      <c r="CC24" s="520"/>
      <c r="CD24" s="520"/>
      <c r="CE24" s="520"/>
      <c r="CF24" s="520"/>
      <c r="CG24" s="520"/>
      <c r="CH24" s="520"/>
      <c r="CI24" s="520"/>
      <c r="CJ24" s="520"/>
      <c r="CK24" s="520"/>
      <c r="CL24" s="520"/>
      <c r="CM24" s="520"/>
      <c r="CN24" s="520"/>
      <c r="CO24" s="520"/>
      <c r="CP24" s="520"/>
      <c r="CQ24" s="520"/>
      <c r="CR24" s="520"/>
      <c r="CS24" s="520"/>
      <c r="CT24" s="520"/>
      <c r="CU24" s="658"/>
    </row>
    <row r="25" spans="2:99" x14ac:dyDescent="0.35">
      <c r="B25" s="149">
        <v>2036</v>
      </c>
      <c r="C25" s="4">
        <f t="shared" ref="C25" si="56">C24*(1+C$8)</f>
        <v>0.25</v>
      </c>
      <c r="D25" s="34" t="str">
        <f t="shared" si="47"/>
        <v>GB200</v>
      </c>
      <c r="E25" s="2">
        <f t="shared" si="42"/>
        <v>38681030.2734375</v>
      </c>
      <c r="F25" s="185">
        <v>25000</v>
      </c>
      <c r="G25" s="184">
        <f t="shared" si="31"/>
        <v>967.0257568359375</v>
      </c>
      <c r="H25" s="83">
        <f t="shared" si="43"/>
        <v>7.4386596679687518</v>
      </c>
      <c r="I25" s="56">
        <f>Calc_Moores_Law!D25</f>
        <v>0.15</v>
      </c>
      <c r="J25" s="2">
        <f t="shared" si="48"/>
        <v>498198.25866988179</v>
      </c>
      <c r="K25" s="2">
        <f t="shared" si="20"/>
        <v>19270821.925783545</v>
      </c>
      <c r="L25" s="83">
        <f t="shared" si="44"/>
        <v>240.88527407229429</v>
      </c>
      <c r="M25" s="2">
        <f t="shared" si="51"/>
        <v>55605860.456871077</v>
      </c>
      <c r="N25" s="83">
        <f t="shared" si="44"/>
        <v>617.20580042235372</v>
      </c>
      <c r="O25" s="56">
        <f>Calc_Moores_Law!Q30</f>
        <v>0.2</v>
      </c>
      <c r="P25" s="34">
        <f t="shared" si="49"/>
        <v>5851.795237975567</v>
      </c>
      <c r="Q25" s="34">
        <f t="shared" si="21"/>
        <v>226353468.75409031</v>
      </c>
      <c r="R25" s="34">
        <f t="shared" si="50"/>
        <v>576271058.11625051</v>
      </c>
      <c r="S25" s="172">
        <f t="shared" si="22"/>
        <v>14337954.272398748</v>
      </c>
      <c r="T25" s="172">
        <f t="shared" si="23"/>
        <v>4310531818.3620987</v>
      </c>
      <c r="U25" s="940">
        <v>0.7</v>
      </c>
      <c r="V25" s="939">
        <f t="shared" si="38"/>
        <v>262467216.00000003</v>
      </c>
      <c r="W25" s="939">
        <f t="shared" si="45"/>
        <v>583417296.00000012</v>
      </c>
      <c r="X25" s="1017">
        <f t="shared" si="39"/>
        <v>0.78770385470719084</v>
      </c>
      <c r="Y25" s="172">
        <f t="shared" si="24"/>
        <v>8953506615.1444778</v>
      </c>
      <c r="Z25" s="942">
        <f t="shared" si="25"/>
        <v>10498.688640000002</v>
      </c>
      <c r="AA25" s="986">
        <v>1.33</v>
      </c>
      <c r="AB25" s="956">
        <f t="shared" si="26"/>
        <v>29.903344939657448</v>
      </c>
      <c r="AC25" s="955">
        <f t="shared" si="27"/>
        <v>22.483717999742442</v>
      </c>
      <c r="AD25" s="942">
        <f t="shared" si="28"/>
        <v>239465.98627677685</v>
      </c>
      <c r="AE25" s="959">
        <f t="shared" si="40"/>
        <v>0.17615458362259931</v>
      </c>
      <c r="AF25" s="957">
        <f t="shared" si="29"/>
        <v>19650.769531774895</v>
      </c>
      <c r="AG25" s="959">
        <f t="shared" si="40"/>
        <v>6.1192105524149741E-2</v>
      </c>
      <c r="AH25" s="1016">
        <f t="shared" si="32"/>
        <v>12.18608695652174</v>
      </c>
      <c r="AI25" s="942">
        <f t="shared" si="30"/>
        <v>139708.59819757027</v>
      </c>
      <c r="AJ25" s="959">
        <f t="shared" si="33"/>
        <v>1.1026160828736518</v>
      </c>
      <c r="AK25" s="942">
        <f t="shared" si="34"/>
        <v>175943.29499542605</v>
      </c>
      <c r="AL25" s="959">
        <f>GlobalChipProd_ElecUse!AA26</f>
        <v>7.0000000000000007E-2</v>
      </c>
      <c r="AM25" s="1028">
        <f t="shared" si="41"/>
        <v>1.5889061544584444</v>
      </c>
      <c r="AN25" s="942">
        <f t="shared" si="35"/>
        <v>315651.89319299633</v>
      </c>
      <c r="AO25" s="959">
        <f t="shared" si="36"/>
        <v>0.36717978816346525</v>
      </c>
      <c r="AP25" s="1028">
        <f t="shared" si="46"/>
        <v>2.8505832172105312</v>
      </c>
      <c r="AQ25" s="943">
        <f t="shared" si="37"/>
        <v>0.44260339066665899</v>
      </c>
      <c r="AR25" s="949"/>
      <c r="AS25" s="185"/>
      <c r="AT25" s="185"/>
      <c r="AU25" s="185"/>
      <c r="AV25" s="185"/>
      <c r="AW25" s="185"/>
      <c r="AX25" s="185"/>
      <c r="AY25" s="185"/>
      <c r="AZ25" s="185"/>
      <c r="BA25" s="185"/>
      <c r="BB25" s="408"/>
      <c r="BC25" s="185"/>
      <c r="BD25" s="185"/>
      <c r="BE25" s="185"/>
      <c r="BF25" s="185"/>
      <c r="BG25" s="185"/>
      <c r="BH25" s="185"/>
      <c r="BI25" s="185"/>
      <c r="BJ25" s="185"/>
      <c r="BK25" s="185"/>
      <c r="BL25" s="185"/>
      <c r="BM25" s="185"/>
      <c r="BN25" s="185"/>
      <c r="BO25" s="185"/>
      <c r="BP25" s="185"/>
      <c r="BQ25" s="185"/>
      <c r="BR25" s="185"/>
      <c r="BS25" s="185"/>
      <c r="BT25" s="185"/>
      <c r="BU25" s="185"/>
      <c r="BV25" s="185"/>
      <c r="BW25" s="185"/>
      <c r="BX25" s="185"/>
      <c r="BY25" s="185"/>
      <c r="BZ25" s="185"/>
      <c r="CA25" s="185"/>
      <c r="CB25" s="185"/>
      <c r="CC25" s="185"/>
      <c r="CD25" s="185"/>
      <c r="CE25" s="185"/>
      <c r="CF25" s="185"/>
      <c r="CG25" s="185"/>
      <c r="CH25" s="185"/>
      <c r="CI25" s="185"/>
      <c r="CJ25" s="185"/>
      <c r="CK25" s="185"/>
      <c r="CL25" s="185"/>
      <c r="CM25" s="185"/>
      <c r="CN25" s="185"/>
      <c r="CO25" s="185"/>
      <c r="CP25" s="185"/>
      <c r="CQ25" s="185"/>
      <c r="CR25" s="185"/>
      <c r="CS25" s="185"/>
      <c r="CT25" s="185"/>
      <c r="CU25" s="932"/>
    </row>
    <row r="26" spans="2:99" x14ac:dyDescent="0.35">
      <c r="B26" s="149">
        <v>2037</v>
      </c>
      <c r="C26" s="4">
        <f t="shared" ref="C26" si="57">C25*(1+C$8)</f>
        <v>0.25</v>
      </c>
      <c r="D26" s="34" t="str">
        <f t="shared" si="47"/>
        <v>GB200</v>
      </c>
      <c r="E26" s="2">
        <f t="shared" si="42"/>
        <v>48351287.841796875</v>
      </c>
      <c r="F26" s="185">
        <v>20000</v>
      </c>
      <c r="G26" s="184">
        <f t="shared" si="31"/>
        <v>967.0257568359375</v>
      </c>
      <c r="H26" s="83">
        <f t="shared" si="43"/>
        <v>7.4386596679687518</v>
      </c>
      <c r="I26" s="56">
        <f>Calc_Moores_Law!D26</f>
        <v>0.15</v>
      </c>
      <c r="J26" s="2">
        <f t="shared" si="48"/>
        <v>572927.99747036397</v>
      </c>
      <c r="K26" s="2">
        <f t="shared" si="20"/>
        <v>27701806.51831384</v>
      </c>
      <c r="L26" s="83">
        <f t="shared" si="44"/>
        <v>346.27258147892297</v>
      </c>
      <c r="M26" s="2">
        <f t="shared" si="51"/>
        <v>80704709.91938448</v>
      </c>
      <c r="N26" s="83">
        <f t="shared" si="44"/>
        <v>895.79434027969421</v>
      </c>
      <c r="O26" s="56">
        <f>Calc_Moores_Law!Q31</f>
        <v>0.2</v>
      </c>
      <c r="P26" s="34">
        <f t="shared" si="49"/>
        <v>7022.1542855706803</v>
      </c>
      <c r="Q26" s="34">
        <f t="shared" si="21"/>
        <v>339530203.13113546</v>
      </c>
      <c r="R26" s="34">
        <f t="shared" si="50"/>
        <v>895826185.13552165</v>
      </c>
      <c r="S26" s="172">
        <f t="shared" si="22"/>
        <v>22288669.017105933</v>
      </c>
      <c r="T26" s="172">
        <f t="shared" si="23"/>
        <v>6256179063.518177</v>
      </c>
      <c r="U26" s="940">
        <v>0.6</v>
      </c>
      <c r="V26" s="939">
        <f t="shared" si="38"/>
        <v>419947545.60000008</v>
      </c>
      <c r="W26" s="939">
        <f t="shared" si="45"/>
        <v>991484841.60000014</v>
      </c>
      <c r="X26" s="1017">
        <f t="shared" si="39"/>
        <v>0.69944368875892893</v>
      </c>
      <c r="Y26" s="172">
        <f t="shared" si="24"/>
        <v>9027820720.0501766</v>
      </c>
      <c r="Z26" s="942">
        <f t="shared" si="25"/>
        <v>16797.901824000004</v>
      </c>
      <c r="AA26" s="986">
        <v>1.45</v>
      </c>
      <c r="AB26" s="956">
        <f t="shared" si="26"/>
        <v>34.919669133786236</v>
      </c>
      <c r="AC26" s="955">
        <f t="shared" si="27"/>
        <v>24.082530437093958</v>
      </c>
      <c r="AD26" s="942">
        <f t="shared" si="28"/>
        <v>279636.71042336017</v>
      </c>
      <c r="AE26" s="959">
        <f t="shared" si="40"/>
        <v>0.1677512734528972</v>
      </c>
      <c r="AF26" s="957">
        <f t="shared" si="29"/>
        <v>21048.131602020119</v>
      </c>
      <c r="AG26" s="959">
        <f t="shared" si="40"/>
        <v>7.1109788753347211E-2</v>
      </c>
      <c r="AH26" s="1016">
        <f t="shared" si="32"/>
        <v>13.285583524027459</v>
      </c>
      <c r="AI26" s="942">
        <f t="shared" si="30"/>
        <v>277255.55953965033</v>
      </c>
      <c r="AJ26" s="959">
        <f t="shared" si="33"/>
        <v>0.98452753170972829</v>
      </c>
      <c r="AK26" s="942">
        <f t="shared" si="34"/>
        <v>190018.75859506015</v>
      </c>
      <c r="AL26" s="959">
        <f>GlobalChipProd_ElecUse!AA27</f>
        <v>0.08</v>
      </c>
      <c r="AM26" s="1028">
        <f t="shared" si="41"/>
        <v>1.7160186468151202</v>
      </c>
      <c r="AN26" s="942">
        <f t="shared" si="35"/>
        <v>467274.31813471048</v>
      </c>
      <c r="AO26" s="959">
        <f t="shared" si="36"/>
        <v>0.48034695248606968</v>
      </c>
      <c r="AP26" s="1028">
        <f t="shared" si="46"/>
        <v>4.2198521784055458</v>
      </c>
      <c r="AQ26" s="943">
        <f t="shared" si="37"/>
        <v>0.59334645363437322</v>
      </c>
      <c r="AR26" s="949"/>
      <c r="AS26" s="185"/>
      <c r="AT26" s="185"/>
      <c r="AU26" s="185"/>
      <c r="AV26" s="185"/>
      <c r="AW26" s="185"/>
      <c r="AX26" s="185"/>
      <c r="AY26" s="185"/>
      <c r="AZ26" s="185"/>
      <c r="BA26" s="185"/>
      <c r="BB26" s="408"/>
      <c r="BC26" s="185"/>
      <c r="BD26" s="185"/>
      <c r="BE26" s="185"/>
      <c r="BF26" s="185"/>
      <c r="BG26" s="185"/>
      <c r="BH26" s="185"/>
      <c r="BI26" s="185"/>
      <c r="BJ26" s="185"/>
      <c r="BK26" s="185"/>
      <c r="BL26" s="185"/>
      <c r="BM26" s="185"/>
      <c r="BN26" s="185"/>
      <c r="BO26" s="185"/>
      <c r="BP26" s="185"/>
      <c r="BQ26" s="185"/>
      <c r="BR26" s="185"/>
      <c r="BS26" s="185"/>
      <c r="BT26" s="185"/>
      <c r="BU26" s="185"/>
      <c r="BV26" s="185"/>
      <c r="BW26" s="185"/>
      <c r="BX26" s="185"/>
      <c r="BY26" s="185"/>
      <c r="BZ26" s="185"/>
      <c r="CA26" s="185"/>
      <c r="CB26" s="185"/>
      <c r="CC26" s="185"/>
      <c r="CD26" s="185"/>
      <c r="CE26" s="185"/>
      <c r="CF26" s="185"/>
      <c r="CG26" s="185"/>
      <c r="CH26" s="185"/>
      <c r="CI26" s="185"/>
      <c r="CJ26" s="185"/>
      <c r="CK26" s="185"/>
      <c r="CL26" s="185"/>
      <c r="CM26" s="185"/>
      <c r="CN26" s="185"/>
      <c r="CO26" s="185"/>
      <c r="CP26" s="185"/>
      <c r="CQ26" s="185"/>
      <c r="CR26" s="185"/>
      <c r="CS26" s="185"/>
      <c r="CT26" s="185"/>
      <c r="CU26" s="932"/>
    </row>
    <row r="27" spans="2:99" x14ac:dyDescent="0.35">
      <c r="B27" s="149">
        <v>2038</v>
      </c>
      <c r="C27" s="4">
        <f t="shared" ref="C27" si="58">C26*(1+C$8)</f>
        <v>0.25</v>
      </c>
      <c r="D27" s="34" t="str">
        <f t="shared" si="47"/>
        <v>GB200</v>
      </c>
      <c r="E27" s="2">
        <f t="shared" si="42"/>
        <v>60439109.802246094</v>
      </c>
      <c r="F27" s="185">
        <v>17000</v>
      </c>
      <c r="G27" s="184">
        <f t="shared" si="31"/>
        <v>1027.4648666381836</v>
      </c>
      <c r="H27" s="83">
        <f t="shared" si="43"/>
        <v>7.9035758972167987</v>
      </c>
      <c r="I27" s="56">
        <f>Calc_Moores_Law!D27</f>
        <v>4.6602372183207397E-2</v>
      </c>
      <c r="J27" s="2">
        <f t="shared" si="48"/>
        <v>599627.80124265759</v>
      </c>
      <c r="K27" s="2">
        <f t="shared" si="20"/>
        <v>36240970.519784376</v>
      </c>
      <c r="L27" s="83">
        <f t="shared" si="44"/>
        <v>453.01213149730467</v>
      </c>
      <c r="M27" s="2">
        <f>SUM(K22:K27)</f>
        <v>112432644.1588234</v>
      </c>
      <c r="N27" s="83">
        <f t="shared" si="44"/>
        <v>1247.9634261836768</v>
      </c>
      <c r="O27" s="56">
        <f>Calc_Moores_Law!Q32</f>
        <v>0.2</v>
      </c>
      <c r="P27" s="34">
        <f t="shared" si="49"/>
        <v>8426.5851426848167</v>
      </c>
      <c r="Q27" s="34">
        <f t="shared" si="21"/>
        <v>509295304.6967032</v>
      </c>
      <c r="R27" s="34">
        <f t="shared" si="50"/>
        <v>1372005304.3879812</v>
      </c>
      <c r="S27" s="172">
        <f t="shared" si="22"/>
        <v>34136278.473028988</v>
      </c>
      <c r="T27" s="172">
        <f t="shared" si="23"/>
        <v>8715708849.5211945</v>
      </c>
      <c r="U27" s="940">
        <v>0.4</v>
      </c>
      <c r="V27" s="939">
        <f t="shared" si="38"/>
        <v>587926563.84000003</v>
      </c>
      <c r="W27" s="939">
        <f t="shared" si="45"/>
        <v>1555651405.4400001</v>
      </c>
      <c r="X27" s="1017">
        <f t="shared" si="39"/>
        <v>0.56901178935784935</v>
      </c>
      <c r="Y27" s="172">
        <f t="shared" si="24"/>
        <v>9102751632.0265923</v>
      </c>
      <c r="Z27" s="942">
        <f t="shared" si="25"/>
        <v>23517.062553600001</v>
      </c>
      <c r="AA27" s="986">
        <v>1.58</v>
      </c>
      <c r="AB27" s="956">
        <f t="shared" si="26"/>
        <v>41.133525655819916</v>
      </c>
      <c r="AC27" s="955">
        <f t="shared" si="27"/>
        <v>26.033876997354376</v>
      </c>
      <c r="AD27" s="942">
        <f t="shared" si="28"/>
        <v>329397.27345180587</v>
      </c>
      <c r="AE27" s="959">
        <f t="shared" si="40"/>
        <v>0.1779471763671871</v>
      </c>
      <c r="AF27" s="957">
        <f t="shared" si="29"/>
        <v>22753.608495687724</v>
      </c>
      <c r="AG27" s="959">
        <f t="shared" si="40"/>
        <v>8.1027471982544966E-2</v>
      </c>
      <c r="AH27" s="1016">
        <f t="shared" si="32"/>
        <v>14.476704805491991</v>
      </c>
      <c r="AI27" s="942">
        <f t="shared" si="30"/>
        <v>512427.3313934058</v>
      </c>
      <c r="AJ27" s="959">
        <f t="shared" si="33"/>
        <v>0.84821300696090651</v>
      </c>
      <c r="AK27" s="942">
        <f t="shared" si="34"/>
        <v>207120.44686861557</v>
      </c>
      <c r="AL27" s="959">
        <f>GlobalChipProd_ElecUse!AA28</f>
        <v>0.09</v>
      </c>
      <c r="AM27" s="1028">
        <f t="shared" si="41"/>
        <v>1.870460325028481</v>
      </c>
      <c r="AN27" s="942">
        <f>AI27+AK27</f>
        <v>719547.77826202137</v>
      </c>
      <c r="AO27" s="959">
        <f t="shared" si="36"/>
        <v>0.53988299877970825</v>
      </c>
      <c r="AP27" s="1028">
        <f t="shared" si="46"/>
        <v>6.4980786268902166</v>
      </c>
      <c r="AQ27" s="943">
        <f t="shared" si="37"/>
        <v>0.71215191940570033</v>
      </c>
      <c r="AR27" s="949"/>
      <c r="AS27" s="185"/>
      <c r="AT27" s="185"/>
      <c r="AU27" s="185"/>
      <c r="AV27" s="185"/>
      <c r="AW27" s="185"/>
      <c r="AX27" s="185"/>
      <c r="AY27" s="185"/>
      <c r="AZ27" s="185"/>
      <c r="BA27" s="185"/>
      <c r="BB27" s="408"/>
      <c r="BC27" s="185"/>
      <c r="BD27" s="185"/>
      <c r="BE27" s="185"/>
      <c r="BF27" s="185"/>
      <c r="BG27" s="185"/>
      <c r="BH27" s="185"/>
      <c r="BI27" s="185"/>
      <c r="BJ27" s="185"/>
      <c r="BK27" s="185"/>
      <c r="BL27" s="185"/>
      <c r="BM27" s="185"/>
      <c r="BN27" s="185"/>
      <c r="BO27" s="185"/>
      <c r="BP27" s="185"/>
      <c r="BQ27" s="185"/>
      <c r="BR27" s="185"/>
      <c r="BS27" s="185"/>
      <c r="BT27" s="185"/>
      <c r="BU27" s="185"/>
      <c r="BV27" s="185"/>
      <c r="BW27" s="185"/>
      <c r="BX27" s="185"/>
      <c r="BY27" s="185"/>
      <c r="BZ27" s="185"/>
      <c r="CA27" s="185"/>
      <c r="CB27" s="185"/>
      <c r="CC27" s="185"/>
      <c r="CD27" s="185"/>
      <c r="CE27" s="185"/>
      <c r="CF27" s="185"/>
      <c r="CG27" s="185"/>
      <c r="CH27" s="185"/>
      <c r="CI27" s="185"/>
      <c r="CJ27" s="185"/>
      <c r="CK27" s="185"/>
      <c r="CL27" s="185"/>
      <c r="CM27" s="185"/>
      <c r="CN27" s="185"/>
      <c r="CO27" s="185"/>
      <c r="CP27" s="185"/>
      <c r="CQ27" s="185"/>
      <c r="CR27" s="185"/>
      <c r="CS27" s="185"/>
      <c r="CT27" s="185"/>
      <c r="CU27" s="932"/>
    </row>
    <row r="28" spans="2:99" x14ac:dyDescent="0.35">
      <c r="B28" s="149">
        <v>2039</v>
      </c>
      <c r="C28" s="4">
        <v>0.25</v>
      </c>
      <c r="D28" s="34" t="str">
        <f t="shared" si="47"/>
        <v>GB200</v>
      </c>
      <c r="E28" s="2">
        <f t="shared" si="42"/>
        <v>75548887.252807617</v>
      </c>
      <c r="F28" s="185">
        <v>16000</v>
      </c>
      <c r="G28" s="184">
        <f t="shared" si="31"/>
        <v>1208.7821960449219</v>
      </c>
      <c r="H28" s="83">
        <f t="shared" si="43"/>
        <v>9.2983245849609393</v>
      </c>
      <c r="I28" s="56">
        <f>Calc_Moores_Law!D28</f>
        <v>4.6602372183207397E-2</v>
      </c>
      <c r="J28" s="2">
        <f t="shared" si="48"/>
        <v>627571.87920756626</v>
      </c>
      <c r="K28" s="2">
        <f t="shared" si="20"/>
        <v>47412357.145285025</v>
      </c>
      <c r="L28" s="83">
        <f t="shared" si="44"/>
        <v>592.65446431606279</v>
      </c>
      <c r="M28" s="2">
        <f t="shared" si="51"/>
        <v>153357511.65111184</v>
      </c>
      <c r="N28" s="83">
        <f t="shared" si="44"/>
        <v>1702.2152872325325</v>
      </c>
      <c r="O28" s="56">
        <f>Calc_Moores_Law!Q33</f>
        <v>0.2</v>
      </c>
      <c r="P28" s="34">
        <f t="shared" si="49"/>
        <v>10111.90217122178</v>
      </c>
      <c r="Q28" s="34">
        <f t="shared" si="21"/>
        <v>763942957.04505479</v>
      </c>
      <c r="R28" s="34">
        <f t="shared" si="50"/>
        <v>2081045755.318121</v>
      </c>
      <c r="S28" s="172">
        <f t="shared" si="22"/>
        <v>51777611.348480314</v>
      </c>
      <c r="T28" s="172">
        <f t="shared" si="23"/>
        <v>11888179197.760609</v>
      </c>
      <c r="U28" s="940">
        <v>0.3</v>
      </c>
      <c r="V28" s="939">
        <f t="shared" si="38"/>
        <v>764304532.9920001</v>
      </c>
      <c r="W28" s="939">
        <f t="shared" si="45"/>
        <v>2274811938.4320002</v>
      </c>
      <c r="X28" s="1017">
        <f t="shared" si="39"/>
        <v>0.46228900027162123</v>
      </c>
      <c r="Y28" s="172">
        <f t="shared" si="24"/>
        <v>9178304470.5724125</v>
      </c>
      <c r="Z28" s="942">
        <f t="shared" si="25"/>
        <v>30572.181319680003</v>
      </c>
      <c r="AA28" s="986">
        <v>1.7</v>
      </c>
      <c r="AB28" s="956">
        <f t="shared" si="26"/>
        <v>48.282604368791723</v>
      </c>
      <c r="AC28" s="955">
        <f t="shared" si="27"/>
        <v>28.40153198164219</v>
      </c>
      <c r="AD28" s="942">
        <f t="shared" si="28"/>
        <v>386647.09578528412</v>
      </c>
      <c r="AE28" s="959">
        <f t="shared" si="40"/>
        <v>0.17380174927845746</v>
      </c>
      <c r="AF28" s="957">
        <f t="shared" si="29"/>
        <v>24822.938951955271</v>
      </c>
      <c r="AG28" s="959">
        <f t="shared" si="40"/>
        <v>9.0945155211742706E-2</v>
      </c>
      <c r="AH28" s="1016">
        <f t="shared" si="32"/>
        <v>15.576201372997714</v>
      </c>
      <c r="AI28" s="942">
        <f t="shared" si="30"/>
        <v>879549.42945242533</v>
      </c>
      <c r="AJ28" s="959">
        <f t="shared" si="33"/>
        <v>0.71643738646947563</v>
      </c>
      <c r="AK28" s="942">
        <f t="shared" si="34"/>
        <v>227832.49155547714</v>
      </c>
      <c r="AL28" s="959">
        <f>GlobalChipProd_ElecUse!AA29</f>
        <v>0.1</v>
      </c>
      <c r="AM28" s="1028">
        <f t="shared" si="41"/>
        <v>2.0575063575313295</v>
      </c>
      <c r="AN28" s="942">
        <f t="shared" si="35"/>
        <v>1107381.9210079024</v>
      </c>
      <c r="AO28" s="959">
        <f t="shared" si="36"/>
        <v>0.53899706796767044</v>
      </c>
      <c r="AP28" s="1028">
        <f t="shared" si="46"/>
        <v>10.000523954207429</v>
      </c>
      <c r="AQ28" s="943">
        <f t="shared" si="37"/>
        <v>0.79426023918820032</v>
      </c>
      <c r="AR28" s="949"/>
      <c r="AS28" s="185"/>
      <c r="AT28" s="185"/>
      <c r="AU28" s="185"/>
      <c r="AV28" s="185"/>
      <c r="AW28" s="185"/>
      <c r="AX28" s="185"/>
      <c r="AY28" s="185"/>
      <c r="AZ28" s="185"/>
      <c r="BA28" s="185"/>
      <c r="BB28" s="408"/>
      <c r="BC28" s="185"/>
      <c r="BD28" s="185"/>
      <c r="BE28" s="185"/>
      <c r="BF28" s="185"/>
      <c r="BG28" s="185"/>
      <c r="BH28" s="185"/>
      <c r="BI28" s="185"/>
      <c r="BJ28" s="185"/>
      <c r="BK28" s="185"/>
      <c r="BL28" s="185"/>
      <c r="BM28" s="185"/>
      <c r="BN28" s="185"/>
      <c r="BO28" s="185"/>
      <c r="BP28" s="185"/>
      <c r="BQ28" s="185"/>
      <c r="BR28" s="185"/>
      <c r="BS28" s="185"/>
      <c r="BT28" s="185"/>
      <c r="BU28" s="185"/>
      <c r="BV28" s="185"/>
      <c r="BW28" s="185"/>
      <c r="BX28" s="185"/>
      <c r="BY28" s="185"/>
      <c r="BZ28" s="185"/>
      <c r="CA28" s="185"/>
      <c r="CB28" s="185"/>
      <c r="CC28" s="185"/>
      <c r="CD28" s="185"/>
      <c r="CE28" s="185"/>
      <c r="CF28" s="185"/>
      <c r="CG28" s="185"/>
      <c r="CH28" s="185"/>
      <c r="CI28" s="185"/>
      <c r="CJ28" s="185"/>
      <c r="CK28" s="185"/>
      <c r="CL28" s="185"/>
      <c r="CM28" s="185"/>
      <c r="CN28" s="185"/>
      <c r="CO28" s="185"/>
      <c r="CP28" s="185"/>
      <c r="CQ28" s="185"/>
      <c r="CR28" s="185"/>
      <c r="CS28" s="185"/>
      <c r="CT28" s="185"/>
      <c r="CU28" s="932"/>
    </row>
    <row r="29" spans="2:99" x14ac:dyDescent="0.35">
      <c r="B29" s="149">
        <v>2040</v>
      </c>
      <c r="C29" s="4">
        <f t="shared" ref="C29" si="59">C28*(1+C$8)</f>
        <v>0.25</v>
      </c>
      <c r="D29" s="34" t="str">
        <f t="shared" si="47"/>
        <v>GB200</v>
      </c>
      <c r="E29" s="2">
        <f t="shared" si="42"/>
        <v>94436109.066009521</v>
      </c>
      <c r="F29" s="185">
        <v>15000</v>
      </c>
      <c r="G29" s="184">
        <f t="shared" si="31"/>
        <v>1416.5416359901428</v>
      </c>
      <c r="H29" s="83">
        <f t="shared" si="43"/>
        <v>10.8964741230011</v>
      </c>
      <c r="I29" s="56">
        <f>Calc_Moores_Law!D29</f>
        <v>4.6602372183207397E-2</v>
      </c>
      <c r="J29" s="2">
        <f t="shared" si="48"/>
        <v>656818.21749411209</v>
      </c>
      <c r="K29" s="2">
        <f t="shared" si="20"/>
        <v>62027356.823815927</v>
      </c>
      <c r="L29" s="83">
        <f t="shared" si="44"/>
        <v>775.34196029769907</v>
      </c>
      <c r="M29" s="2">
        <f t="shared" si="51"/>
        <v>206059102.09874517</v>
      </c>
      <c r="N29" s="83">
        <f t="shared" si="44"/>
        <v>2287.1846960054027</v>
      </c>
      <c r="O29" s="56">
        <f>Calc_Moores_Law!Q34</f>
        <v>0.1</v>
      </c>
      <c r="P29" s="34">
        <f t="shared" si="49"/>
        <v>11123.092388343959</v>
      </c>
      <c r="Q29" s="34">
        <f t="shared" si="21"/>
        <v>1050421565.9369504</v>
      </c>
      <c r="R29" s="34">
        <f t="shared" si="50"/>
        <v>3040445812.0666609</v>
      </c>
      <c r="S29" s="172">
        <f t="shared" si="22"/>
        <v>75648034.734938815</v>
      </c>
      <c r="T29" s="172">
        <f t="shared" si="23"/>
        <v>15973573806.104275</v>
      </c>
      <c r="U29" s="940">
        <v>0.3</v>
      </c>
      <c r="V29" s="939">
        <f t="shared" si="38"/>
        <v>993595892.88960016</v>
      </c>
      <c r="W29" s="939">
        <f>SUM(V24:V29)</f>
        <v>3182634231.3216004</v>
      </c>
      <c r="X29" s="1017">
        <f t="shared" si="39"/>
        <v>0.39907575547337376</v>
      </c>
      <c r="Y29" s="172">
        <f t="shared" si="24"/>
        <v>9254484397.6781635</v>
      </c>
      <c r="Z29" s="942">
        <f t="shared" si="25"/>
        <v>39743.835715584006</v>
      </c>
      <c r="AA29" s="986">
        <v>1.8</v>
      </c>
      <c r="AB29" s="956">
        <f t="shared" si="26"/>
        <v>55.77212468873504</v>
      </c>
      <c r="AC29" s="955">
        <f t="shared" si="27"/>
        <v>30.984513715963907</v>
      </c>
      <c r="AD29" s="942">
        <f t="shared" si="28"/>
        <v>446623.17450739018</v>
      </c>
      <c r="AE29" s="959">
        <f t="shared" si="40"/>
        <v>0.15511839963596272</v>
      </c>
      <c r="AF29" s="957">
        <f t="shared" si="29"/>
        <v>27080.464987752453</v>
      </c>
      <c r="AG29" s="959">
        <f t="shared" si="40"/>
        <v>9.094515521174254E-2</v>
      </c>
      <c r="AH29" s="1016">
        <f t="shared" si="32"/>
        <v>16.492448512585813</v>
      </c>
      <c r="AI29" s="942">
        <f t="shared" si="30"/>
        <v>1421438.2036887407</v>
      </c>
      <c r="AJ29" s="959">
        <f t="shared" si="33"/>
        <v>0.61609814763187909</v>
      </c>
      <c r="AK29" s="942">
        <f t="shared" si="34"/>
        <v>250615.74071102488</v>
      </c>
      <c r="AL29" s="959">
        <f>GlobalChipProd_ElecUse!AA30</f>
        <v>0.1</v>
      </c>
      <c r="AM29" s="1028">
        <f t="shared" si="41"/>
        <v>2.2632569932844628</v>
      </c>
      <c r="AN29" s="942">
        <f t="shared" si="35"/>
        <v>1672053.9443997657</v>
      </c>
      <c r="AO29" s="959">
        <f t="shared" si="36"/>
        <v>0.50991623818268361</v>
      </c>
      <c r="AP29" s="1028">
        <f t="shared" si="46"/>
        <v>15.099953508792698</v>
      </c>
      <c r="AQ29" s="943">
        <f t="shared" si="37"/>
        <v>0.85011503872203653</v>
      </c>
      <c r="AR29" s="949"/>
      <c r="AS29" s="185"/>
      <c r="AT29" s="185"/>
      <c r="AU29" s="185"/>
      <c r="AV29" s="185"/>
      <c r="AW29" s="185"/>
      <c r="AX29" s="185"/>
      <c r="AY29" s="185"/>
      <c r="AZ29" s="185"/>
      <c r="BA29" s="185"/>
      <c r="BB29" s="408"/>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5"/>
      <c r="CR29" s="185"/>
      <c r="CS29" s="185"/>
      <c r="CT29" s="185"/>
      <c r="CU29" s="932"/>
    </row>
    <row r="30" spans="2:99" x14ac:dyDescent="0.35">
      <c r="B30" s="149">
        <v>2041</v>
      </c>
      <c r="C30" s="4">
        <f t="shared" ref="C30:C39" si="60">C29*(1+C$8)</f>
        <v>0.25</v>
      </c>
      <c r="D30" s="34" t="str">
        <f t="shared" si="47"/>
        <v>GB200</v>
      </c>
      <c r="E30" s="2">
        <f t="shared" si="42"/>
        <v>118045136.3325119</v>
      </c>
      <c r="F30" s="185">
        <v>14000</v>
      </c>
      <c r="G30" s="184">
        <f t="shared" si="31"/>
        <v>1652.6319086551664</v>
      </c>
      <c r="H30" s="83">
        <f t="shared" si="43"/>
        <v>12.712553143501282</v>
      </c>
      <c r="I30" s="56">
        <f>Calc_Moores_Law!D30</f>
        <v>4.6602372183207397E-2</v>
      </c>
      <c r="J30" s="2">
        <f t="shared" si="48"/>
        <v>687427.50452248356</v>
      </c>
      <c r="K30" s="2">
        <f t="shared" si="20"/>
        <v>81147473.490075022</v>
      </c>
      <c r="L30" s="83">
        <f t="shared" si="44"/>
        <v>1014.3434186259378</v>
      </c>
      <c r="M30" s="2">
        <f t="shared" si="51"/>
        <v>273800786.42305773</v>
      </c>
      <c r="N30" s="83">
        <f t="shared" si="44"/>
        <v>3039.0939399559534</v>
      </c>
      <c r="O30" s="56">
        <f>Calc_Moores_Law!Q35</f>
        <v>0.1</v>
      </c>
      <c r="P30" s="34">
        <f t="shared" si="49"/>
        <v>12235.401627178357</v>
      </c>
      <c r="Q30" s="34">
        <f t="shared" si="21"/>
        <v>1444329653.1633072</v>
      </c>
      <c r="R30" s="34">
        <f t="shared" si="50"/>
        <v>4333873152.7272415</v>
      </c>
      <c r="S30" s="172">
        <f t="shared" si="22"/>
        <v>107829248.4257375</v>
      </c>
      <c r="T30" s="172">
        <f t="shared" si="23"/>
        <v>21224867164.578121</v>
      </c>
      <c r="U30" s="940">
        <v>0.3</v>
      </c>
      <c r="V30" s="939">
        <f t="shared" si="38"/>
        <v>1291674660.7564802</v>
      </c>
      <c r="W30" s="939">
        <f t="shared" ref="W30:W39" si="61">SUM(V25:V30)</f>
        <v>4319916412.0780811</v>
      </c>
      <c r="X30" s="1017">
        <f t="shared" si="39"/>
        <v>0.35733989459549681</v>
      </c>
      <c r="Y30" s="172">
        <f t="shared" si="24"/>
        <v>9331296618.1788921</v>
      </c>
      <c r="Z30" s="942">
        <f t="shared" si="25"/>
        <v>51666.98643025921</v>
      </c>
      <c r="AA30" s="986">
        <v>1.9</v>
      </c>
      <c r="AB30" s="956">
        <f t="shared" si="26"/>
        <v>64.224569737542964</v>
      </c>
      <c r="AC30" s="955">
        <f t="shared" si="27"/>
        <v>33.802405125022617</v>
      </c>
      <c r="AD30" s="942">
        <f t="shared" si="28"/>
        <v>514310.35445824411</v>
      </c>
      <c r="AE30" s="959">
        <f t="shared" si="40"/>
        <v>0.15155321939017277</v>
      </c>
      <c r="AF30" s="957">
        <f t="shared" si="29"/>
        <v>29543.302079269764</v>
      </c>
      <c r="AG30" s="959">
        <f t="shared" si="40"/>
        <v>9.0945155211742706E-2</v>
      </c>
      <c r="AH30" s="1016">
        <f t="shared" si="32"/>
        <v>17.408695652173915</v>
      </c>
      <c r="AI30" s="942">
        <f t="shared" si="30"/>
        <v>2221777.741125864</v>
      </c>
      <c r="AJ30" s="959">
        <f t="shared" si="33"/>
        <v>0.5630491254281621</v>
      </c>
      <c r="AK30" s="942">
        <f t="shared" si="34"/>
        <v>275677.31478212739</v>
      </c>
      <c r="AL30" s="959">
        <f>GlobalChipProd_ElecUse!AA31</f>
        <v>0.1</v>
      </c>
      <c r="AM30" s="1028">
        <f t="shared" si="41"/>
        <v>2.4895826926129092</v>
      </c>
      <c r="AN30" s="942">
        <f t="shared" si="35"/>
        <v>2497455.0559079912</v>
      </c>
      <c r="AO30" s="959">
        <f t="shared" si="36"/>
        <v>0.49364502519356707</v>
      </c>
      <c r="AP30" s="1028">
        <f t="shared" si="46"/>
        <v>22.553970439062361</v>
      </c>
      <c r="AQ30" s="943">
        <f t="shared" si="37"/>
        <v>0.8896167063627497</v>
      </c>
      <c r="AR30" s="949"/>
      <c r="AS30" s="185"/>
      <c r="AT30" s="185"/>
      <c r="AU30" s="185"/>
      <c r="AV30" s="185"/>
      <c r="AW30" s="185"/>
      <c r="AX30" s="185"/>
      <c r="AY30" s="185"/>
      <c r="AZ30" s="185"/>
      <c r="BA30" s="185"/>
      <c r="BB30" s="408"/>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c r="CD30" s="185"/>
      <c r="CE30" s="185"/>
      <c r="CF30" s="185"/>
      <c r="CG30" s="185"/>
      <c r="CH30" s="185"/>
      <c r="CI30" s="185"/>
      <c r="CJ30" s="185"/>
      <c r="CK30" s="185"/>
      <c r="CL30" s="185"/>
      <c r="CM30" s="185"/>
      <c r="CN30" s="185"/>
      <c r="CO30" s="185"/>
      <c r="CP30" s="185"/>
      <c r="CQ30" s="185"/>
      <c r="CR30" s="185"/>
      <c r="CS30" s="185"/>
      <c r="CT30" s="185"/>
      <c r="CU30" s="932"/>
    </row>
    <row r="31" spans="2:99" x14ac:dyDescent="0.35">
      <c r="B31" s="149">
        <v>2042</v>
      </c>
      <c r="C31" s="4">
        <f t="shared" ref="C31:C33" si="62">C30*(1+C$8)</f>
        <v>0.25</v>
      </c>
      <c r="D31" s="34" t="str">
        <f t="shared" si="47"/>
        <v>GB200</v>
      </c>
      <c r="E31" s="2">
        <f t="shared" si="42"/>
        <v>147556420.41563988</v>
      </c>
      <c r="F31" s="185">
        <v>13000</v>
      </c>
      <c r="G31" s="184">
        <f t="shared" si="31"/>
        <v>1918.2334654033184</v>
      </c>
      <c r="H31" s="83">
        <f t="shared" si="43"/>
        <v>14.75564204156399</v>
      </c>
      <c r="I31" s="56">
        <f>Calc_Moores_Law!D31</f>
        <v>4.6602372183207397E-2</v>
      </c>
      <c r="J31" s="2">
        <f t="shared" si="48"/>
        <v>719463.25693721382</v>
      </c>
      <c r="K31" s="2">
        <f t="shared" si="20"/>
        <v>106161422.81423306</v>
      </c>
      <c r="L31" s="83">
        <f t="shared" si="44"/>
        <v>1327.0177851779133</v>
      </c>
      <c r="M31" s="2">
        <f t="shared" si="51"/>
        <v>360691387.31150723</v>
      </c>
      <c r="N31" s="83">
        <f t="shared" si="44"/>
        <v>4003.5495284479375</v>
      </c>
      <c r="O31" s="56">
        <f>Calc_Moores_Law!Q36</f>
        <v>0.1</v>
      </c>
      <c r="P31" s="34">
        <f t="shared" si="49"/>
        <v>13458.941789896193</v>
      </c>
      <c r="Q31" s="34">
        <f t="shared" si="21"/>
        <v>1985953273.0995474</v>
      </c>
      <c r="R31" s="34">
        <f t="shared" si="50"/>
        <v>6093472957.0726986</v>
      </c>
      <c r="S31" s="172">
        <f t="shared" si="22"/>
        <v>151609100.2456384</v>
      </c>
      <c r="T31" s="172">
        <f t="shared" si="23"/>
        <v>27960572659.806763</v>
      </c>
      <c r="U31" s="940">
        <v>0.3</v>
      </c>
      <c r="V31" s="939">
        <f t="shared" si="38"/>
        <v>1679177058.9834244</v>
      </c>
      <c r="W31" s="939">
        <f t="shared" si="61"/>
        <v>5736626255.0615053</v>
      </c>
      <c r="X31" s="1017">
        <f t="shared" si="39"/>
        <v>0.32794843877590696</v>
      </c>
      <c r="Y31" s="172">
        <f t="shared" si="24"/>
        <v>9408746380.1097775</v>
      </c>
      <c r="Z31" s="942">
        <f t="shared" si="25"/>
        <v>67167.082359336971</v>
      </c>
      <c r="AA31" s="986">
        <v>1.95</v>
      </c>
      <c r="AB31" s="956">
        <f t="shared" si="26"/>
        <v>71.909311706013582</v>
      </c>
      <c r="AC31" s="955">
        <f t="shared" si="27"/>
        <v>36.876570105647993</v>
      </c>
      <c r="AD31" s="942">
        <f t="shared" si="28"/>
        <v>575849.76814175677</v>
      </c>
      <c r="AE31" s="959">
        <f t="shared" si="40"/>
        <v>0.11965423824363024</v>
      </c>
      <c r="AF31" s="957">
        <f t="shared" si="29"/>
        <v>32230.122272336346</v>
      </c>
      <c r="AG31" s="959">
        <f t="shared" si="40"/>
        <v>9.0945155211742443E-2</v>
      </c>
      <c r="AH31" s="1016">
        <f t="shared" si="32"/>
        <v>17.866819221967962</v>
      </c>
      <c r="AI31" s="942">
        <f t="shared" si="30"/>
        <v>3303434.898893082</v>
      </c>
      <c r="AJ31" s="959">
        <f t="shared" si="33"/>
        <v>0.4868430976444561</v>
      </c>
      <c r="AK31" s="942">
        <f t="shared" si="34"/>
        <v>303245.04626034014</v>
      </c>
      <c r="AL31" s="959">
        <f>GlobalChipProd_ElecUse!AA32</f>
        <v>0.1</v>
      </c>
      <c r="AM31" s="1028">
        <f t="shared" si="41"/>
        <v>2.7385409618742003</v>
      </c>
      <c r="AN31" s="942">
        <f t="shared" si="35"/>
        <v>3606679.9451534222</v>
      </c>
      <c r="AO31" s="959">
        <f t="shared" si="36"/>
        <v>0.44414208240562464</v>
      </c>
      <c r="AP31" s="1028">
        <f t="shared" si="46"/>
        <v>32.57113783638242</v>
      </c>
      <c r="AQ31" s="943">
        <f t="shared" si="37"/>
        <v>0.91592127638943011</v>
      </c>
      <c r="AR31" s="949"/>
      <c r="AS31" s="185"/>
      <c r="AT31" s="185"/>
      <c r="AU31" s="185"/>
      <c r="AV31" s="185"/>
      <c r="AW31" s="185"/>
      <c r="AX31" s="185"/>
      <c r="AY31" s="185"/>
      <c r="AZ31" s="185"/>
      <c r="BA31" s="185"/>
      <c r="BB31" s="408"/>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185"/>
      <c r="CD31" s="185"/>
      <c r="CE31" s="185"/>
      <c r="CF31" s="185"/>
      <c r="CG31" s="185"/>
      <c r="CH31" s="185"/>
      <c r="CI31" s="185"/>
      <c r="CJ31" s="185"/>
      <c r="CK31" s="185"/>
      <c r="CL31" s="185"/>
      <c r="CM31" s="185"/>
      <c r="CN31" s="185"/>
      <c r="CO31" s="185"/>
      <c r="CP31" s="185"/>
      <c r="CQ31" s="185"/>
      <c r="CR31" s="185"/>
      <c r="CS31" s="185"/>
      <c r="CT31" s="185"/>
      <c r="CU31" s="932"/>
    </row>
    <row r="32" spans="2:99" x14ac:dyDescent="0.35">
      <c r="B32" s="149">
        <v>2043</v>
      </c>
      <c r="C32" s="4">
        <f t="shared" si="60"/>
        <v>0.25</v>
      </c>
      <c r="D32" s="34" t="str">
        <f t="shared" si="47"/>
        <v>GB200</v>
      </c>
      <c r="E32" s="2">
        <f t="shared" si="42"/>
        <v>184445525.51954985</v>
      </c>
      <c r="F32" s="185">
        <v>12000</v>
      </c>
      <c r="G32" s="184">
        <f t="shared" si="31"/>
        <v>2213.3463062345982</v>
      </c>
      <c r="H32" s="83">
        <f t="shared" si="43"/>
        <v>17.025740817189217</v>
      </c>
      <c r="I32" s="56">
        <f>Calc_Moores_Law!D32</f>
        <v>4.6602372183207397E-2</v>
      </c>
      <c r="J32" s="2">
        <f t="shared" si="48"/>
        <v>752991.95140914444</v>
      </c>
      <c r="K32" s="2">
        <f t="shared" si="20"/>
        <v>138885996.18965098</v>
      </c>
      <c r="L32" s="83">
        <f t="shared" si="44"/>
        <v>1736.0749523706374</v>
      </c>
      <c r="M32" s="2">
        <f t="shared" si="51"/>
        <v>471875576.98284447</v>
      </c>
      <c r="N32" s="83">
        <f t="shared" si="44"/>
        <v>5237.655542033217</v>
      </c>
      <c r="O32" s="56">
        <f>Calc_Moores_Law!Q37</f>
        <v>0.1</v>
      </c>
      <c r="P32" s="34">
        <f t="shared" si="49"/>
        <v>14804.835968885813</v>
      </c>
      <c r="Q32" s="34">
        <f t="shared" si="21"/>
        <v>2730685750.5118775</v>
      </c>
      <c r="R32" s="34">
        <f t="shared" si="50"/>
        <v>8484628504.4534397</v>
      </c>
      <c r="S32" s="172">
        <f t="shared" si="22"/>
        <v>211102420.99058118</v>
      </c>
      <c r="T32" s="172">
        <f t="shared" si="23"/>
        <v>36579502091.693375</v>
      </c>
      <c r="U32" s="940">
        <v>0.3</v>
      </c>
      <c r="V32" s="939">
        <f t="shared" si="38"/>
        <v>2182930176.678452</v>
      </c>
      <c r="W32" s="939">
        <f>SUM(V27:V32)</f>
        <v>7499608886.1399574</v>
      </c>
      <c r="X32" s="1017">
        <f t="shared" si="39"/>
        <v>0.30732046200899837</v>
      </c>
      <c r="Y32" s="172">
        <f t="shared" si="24"/>
        <v>9486838975.0646877</v>
      </c>
      <c r="Z32" s="942">
        <f t="shared" si="25"/>
        <v>87317.207067138079</v>
      </c>
      <c r="AA32" s="986">
        <v>2</v>
      </c>
      <c r="AB32" s="956">
        <f t="shared" si="26"/>
        <v>80.460630995165729</v>
      </c>
      <c r="AC32" s="955">
        <f t="shared" si="27"/>
        <v>40.230315497582865</v>
      </c>
      <c r="AD32" s="942">
        <f t="shared" si="28"/>
        <v>644328.73300928716</v>
      </c>
      <c r="AE32" s="959">
        <f t="shared" si="40"/>
        <v>0.11891810790947986</v>
      </c>
      <c r="AF32" s="957">
        <f t="shared" si="29"/>
        <v>35161.295744887422</v>
      </c>
      <c r="AG32" s="959">
        <f t="shared" si="40"/>
        <v>9.0945155211742748E-2</v>
      </c>
      <c r="AH32" s="1016">
        <f t="shared" si="32"/>
        <v>18.324942791762016</v>
      </c>
      <c r="AI32" s="942">
        <f t="shared" si="30"/>
        <v>4832213.4916717503</v>
      </c>
      <c r="AJ32" s="959">
        <f t="shared" si="33"/>
        <v>0.46278453778245571</v>
      </c>
      <c r="AK32" s="942">
        <f t="shared" si="34"/>
        <v>333569.5508863742</v>
      </c>
      <c r="AL32" s="959">
        <f>GlobalChipProd_ElecUse!AA33</f>
        <v>0.1</v>
      </c>
      <c r="AM32" s="1028">
        <f t="shared" si="41"/>
        <v>3.0123950580616206</v>
      </c>
      <c r="AN32" s="942">
        <f>AI32+AK32</f>
        <v>5165783.0425581243</v>
      </c>
      <c r="AO32" s="959">
        <f>(AN32-AN31)/AN31</f>
        <v>0.43228207690005621</v>
      </c>
      <c r="AP32" s="1028">
        <f t="shared" si="46"/>
        <v>46.651056947291814</v>
      </c>
      <c r="AQ32" s="943">
        <f t="shared" si="37"/>
        <v>0.93542710792569628</v>
      </c>
      <c r="AR32" s="949"/>
      <c r="AS32" s="185"/>
      <c r="AT32" s="185"/>
      <c r="AU32" s="185"/>
      <c r="AV32" s="185"/>
      <c r="AW32" s="185"/>
      <c r="AX32" s="185"/>
      <c r="AY32" s="185"/>
      <c r="AZ32" s="185"/>
      <c r="BA32" s="185"/>
      <c r="BB32" s="408"/>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5"/>
      <c r="CF32" s="185"/>
      <c r="CG32" s="185"/>
      <c r="CH32" s="185"/>
      <c r="CI32" s="185"/>
      <c r="CJ32" s="185"/>
      <c r="CK32" s="185"/>
      <c r="CL32" s="185"/>
      <c r="CM32" s="185"/>
      <c r="CN32" s="185"/>
      <c r="CO32" s="185"/>
      <c r="CP32" s="185"/>
      <c r="CQ32" s="185"/>
      <c r="CR32" s="185"/>
      <c r="CS32" s="185"/>
      <c r="CT32" s="185"/>
      <c r="CU32" s="932"/>
    </row>
    <row r="33" spans="2:103" x14ac:dyDescent="0.35">
      <c r="B33" s="149">
        <v>2044</v>
      </c>
      <c r="C33" s="4">
        <f t="shared" si="62"/>
        <v>0.25</v>
      </c>
      <c r="D33" s="34" t="str">
        <f t="shared" si="47"/>
        <v>GB200</v>
      </c>
      <c r="E33" s="2">
        <f t="shared" si="42"/>
        <v>230556906.89943731</v>
      </c>
      <c r="F33" s="185">
        <v>11000</v>
      </c>
      <c r="G33" s="184">
        <f t="shared" si="31"/>
        <v>2536.1259758938104</v>
      </c>
      <c r="H33" s="83">
        <f t="shared" si="43"/>
        <v>19.508661353029311</v>
      </c>
      <c r="I33" s="56">
        <f>Calc_Moores_Law!D33</f>
        <v>4.6602372183207397E-2</v>
      </c>
      <c r="J33" s="2">
        <f t="shared" si="48"/>
        <v>788083.16257967299</v>
      </c>
      <c r="K33" s="2">
        <f t="shared" si="20"/>
        <v>181698016.34389579</v>
      </c>
      <c r="L33" s="83">
        <f t="shared" si="44"/>
        <v>2271.2252042986975</v>
      </c>
      <c r="M33" s="2">
        <f t="shared" si="51"/>
        <v>617332622.80695581</v>
      </c>
      <c r="N33" s="83">
        <f t="shared" si="44"/>
        <v>6852.1783937131095</v>
      </c>
      <c r="O33" s="56">
        <f>Calc_Moores_Law!Q38</f>
        <v>0.1</v>
      </c>
      <c r="P33" s="34">
        <f t="shared" si="49"/>
        <v>16285.319565774395</v>
      </c>
      <c r="Q33" s="34">
        <f t="shared" si="21"/>
        <v>3754692906.9538321</v>
      </c>
      <c r="R33" s="34">
        <f t="shared" si="50"/>
        <v>11730026106.710569</v>
      </c>
      <c r="S33" s="172">
        <f t="shared" si="22"/>
        <v>291849773.75374627</v>
      </c>
      <c r="T33" s="172">
        <f t="shared" si="23"/>
        <v>47855242078.058594</v>
      </c>
      <c r="U33" s="940">
        <v>0.3</v>
      </c>
      <c r="V33" s="939">
        <f t="shared" si="38"/>
        <v>2837809229.6819878</v>
      </c>
      <c r="W33" s="939">
        <f t="shared" si="61"/>
        <v>9749491551.981945</v>
      </c>
      <c r="X33" s="1017">
        <f t="shared" si="39"/>
        <v>0.30000000000000004</v>
      </c>
      <c r="Y33" s="172">
        <f t="shared" si="24"/>
        <v>9565579738.557724</v>
      </c>
      <c r="Z33" s="942">
        <f t="shared" si="25"/>
        <v>113512.36918727952</v>
      </c>
      <c r="AA33" s="986">
        <f>AA32</f>
        <v>2</v>
      </c>
      <c r="AB33" s="956">
        <f t="shared" si="26"/>
        <v>87.778135569455841</v>
      </c>
      <c r="AC33" s="955">
        <f t="shared" si="27"/>
        <v>43.889067784727921</v>
      </c>
      <c r="AD33" s="942">
        <f t="shared" si="28"/>
        <v>702927.30964020244</v>
      </c>
      <c r="AE33" s="959">
        <f t="shared" si="40"/>
        <v>9.0945155211742915E-2</v>
      </c>
      <c r="AF33" s="957">
        <f t="shared" si="29"/>
        <v>38359.045243852204</v>
      </c>
      <c r="AG33" s="959">
        <f t="shared" si="40"/>
        <v>9.0945155211742915E-2</v>
      </c>
      <c r="AH33" s="1016">
        <f t="shared" si="32"/>
        <v>18.324942791762016</v>
      </c>
      <c r="AI33" s="942">
        <f t="shared" si="30"/>
        <v>6853183.8669945505</v>
      </c>
      <c r="AJ33" s="959">
        <f>(AI33-AI32)/AI32</f>
        <v>0.41822870177526578</v>
      </c>
      <c r="AK33" s="942">
        <f>AK32*(1+AL33)</f>
        <v>366926.50597501168</v>
      </c>
      <c r="AL33" s="959">
        <f>GlobalChipProd_ElecUse!AA34</f>
        <v>0.1</v>
      </c>
      <c r="AM33" s="1028">
        <f t="shared" si="41"/>
        <v>3.3136345638677831</v>
      </c>
      <c r="AN33" s="942">
        <f t="shared" si="35"/>
        <v>7220110.3729695622</v>
      </c>
      <c r="AO33" s="959">
        <f>(AN33-AN32)/AN32</f>
        <v>0.39767975416058582</v>
      </c>
      <c r="AP33" s="1028">
        <f t="shared" si="46"/>
        <v>65.203237805422319</v>
      </c>
      <c r="AQ33" s="943">
        <f t="shared" si="37"/>
        <v>0.94917993118932076</v>
      </c>
      <c r="AR33" s="949"/>
      <c r="AS33" s="185"/>
      <c r="AT33" s="185"/>
      <c r="AU33" s="185"/>
      <c r="AV33" s="185"/>
      <c r="AW33" s="185"/>
      <c r="AX33" s="185"/>
      <c r="AY33" s="185"/>
      <c r="AZ33" s="185"/>
      <c r="BA33" s="185"/>
      <c r="BB33" s="408"/>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5"/>
      <c r="CP33" s="185"/>
      <c r="CQ33" s="185"/>
      <c r="CR33" s="185"/>
      <c r="CS33" s="185"/>
      <c r="CT33" s="185"/>
      <c r="CU33" s="932"/>
    </row>
    <row r="34" spans="2:103" x14ac:dyDescent="0.35">
      <c r="B34" s="517">
        <v>2045</v>
      </c>
      <c r="C34" s="657">
        <f t="shared" si="60"/>
        <v>0.25</v>
      </c>
      <c r="D34" s="230" t="str">
        <f t="shared" si="47"/>
        <v>GB200</v>
      </c>
      <c r="E34" s="91">
        <f>E33*(1+C34)</f>
        <v>288196133.62429667</v>
      </c>
      <c r="F34" s="520">
        <v>10000</v>
      </c>
      <c r="G34" s="520">
        <f>(E34*F34)/CW$4</f>
        <v>2881.9613362429668</v>
      </c>
      <c r="H34" s="660">
        <f t="shared" si="43"/>
        <v>22.168933355715129</v>
      </c>
      <c r="I34" s="519">
        <f>Calc_Moores_Law!D34</f>
        <v>4.6602372183207397E-2</v>
      </c>
      <c r="J34" s="91">
        <f>J33*(1+I34)</f>
        <v>824809.70743353001</v>
      </c>
      <c r="K34" s="91">
        <f>E34*J34/CW$3</f>
        <v>237706968.65813065</v>
      </c>
      <c r="L34" s="660">
        <f t="shared" si="44"/>
        <v>2971.3371082266331</v>
      </c>
      <c r="M34" s="91">
        <f>SUM(K29:K34)</f>
        <v>807627234.31980145</v>
      </c>
      <c r="N34" s="660">
        <f t="shared" si="44"/>
        <v>8964.3827018533248</v>
      </c>
      <c r="O34" s="519">
        <f>Calc_Moores_Law!Q39</f>
        <v>0.1</v>
      </c>
      <c r="P34" s="230">
        <f>P33*(1+O34)</f>
        <v>17913.851522351837</v>
      </c>
      <c r="Q34" s="230">
        <f>E34*P34/CW$2</f>
        <v>5162702747.0615206</v>
      </c>
      <c r="R34" s="230">
        <f>SUM(Q29:Q34)</f>
        <v>16128785896.727036</v>
      </c>
      <c r="S34" s="230">
        <f t="shared" si="22"/>
        <v>401293438.91140115</v>
      </c>
      <c r="T34" s="230">
        <f t="shared" si="23"/>
        <v>62606762350.372208</v>
      </c>
      <c r="U34" s="936">
        <v>0.3</v>
      </c>
      <c r="V34" s="230">
        <f t="shared" si="38"/>
        <v>3689151998.5865841</v>
      </c>
      <c r="W34" s="230">
        <f t="shared" si="61"/>
        <v>12674339017.576529</v>
      </c>
      <c r="X34" s="657">
        <f t="shared" si="39"/>
        <v>0.3</v>
      </c>
      <c r="Y34" s="230">
        <f t="shared" si="24"/>
        <v>9644974050.3877525</v>
      </c>
      <c r="Z34" s="583">
        <f t="shared" si="25"/>
        <v>147566.07994346338</v>
      </c>
      <c r="AA34" s="987">
        <v>2</v>
      </c>
      <c r="AB34" s="958">
        <f t="shared" si="26"/>
        <v>95.761131733017407</v>
      </c>
      <c r="AC34" s="648">
        <f>(AK34*CW$4)/((Y34*0.5)*Y$40)</f>
        <v>47.880565866508704</v>
      </c>
      <c r="AD34" s="583">
        <f t="shared" si="28"/>
        <v>766855.14291800337</v>
      </c>
      <c r="AE34" s="518">
        <f t="shared" si="40"/>
        <v>9.0945155211742706E-2</v>
      </c>
      <c r="AF34" s="520">
        <f t="shared" si="29"/>
        <v>41847.614567328601</v>
      </c>
      <c r="AG34" s="518">
        <f t="shared" si="40"/>
        <v>9.0945155211742637E-2</v>
      </c>
      <c r="AH34" s="991">
        <f t="shared" si="32"/>
        <v>18.324942791762016</v>
      </c>
      <c r="AI34" s="583">
        <f t="shared" si="30"/>
        <v>9719382.058714876</v>
      </c>
      <c r="AJ34" s="518">
        <f t="shared" si="33"/>
        <v>0.41822870177526561</v>
      </c>
      <c r="AK34" s="583">
        <f t="shared" si="34"/>
        <v>403619.15657251287</v>
      </c>
      <c r="AL34" s="518">
        <f>GlobalChipProd_ElecUse!AA35</f>
        <v>0.1</v>
      </c>
      <c r="AM34" s="585">
        <f>AM33*(1+AL34)</f>
        <v>3.6449980202545618</v>
      </c>
      <c r="AN34" s="583">
        <f>AI34+AK34</f>
        <v>10123001.215287389</v>
      </c>
      <c r="AO34" s="518">
        <f t="shared" si="36"/>
        <v>0.40205629725351355</v>
      </c>
      <c r="AP34" s="585">
        <f t="shared" si="46"/>
        <v>91.41861016641073</v>
      </c>
      <c r="AQ34" s="665">
        <f t="shared" si="37"/>
        <v>0.96012850853332088</v>
      </c>
      <c r="AR34" s="950"/>
      <c r="AS34" s="520"/>
      <c r="AT34" s="520"/>
      <c r="AU34" s="520"/>
      <c r="AV34" s="520"/>
      <c r="AW34" s="520"/>
      <c r="AX34" s="520"/>
      <c r="AY34" s="520"/>
      <c r="AZ34" s="520"/>
      <c r="BA34" s="520"/>
      <c r="BB34" s="963"/>
      <c r="BC34" s="520"/>
      <c r="BD34" s="520"/>
      <c r="BE34" s="520"/>
      <c r="BF34" s="520"/>
      <c r="BG34" s="520"/>
      <c r="BH34" s="520"/>
      <c r="BI34" s="520"/>
      <c r="BJ34" s="520"/>
      <c r="BK34" s="520"/>
      <c r="BL34" s="520"/>
      <c r="BM34" s="520"/>
      <c r="BN34" s="520"/>
      <c r="BO34" s="520"/>
      <c r="BP34" s="520"/>
      <c r="BQ34" s="520"/>
      <c r="BR34" s="520"/>
      <c r="BS34" s="520"/>
      <c r="BT34" s="520"/>
      <c r="BU34" s="520"/>
      <c r="BV34" s="520"/>
      <c r="BW34" s="520"/>
      <c r="BX34" s="520"/>
      <c r="BY34" s="520"/>
      <c r="BZ34" s="520"/>
      <c r="CA34" s="520"/>
      <c r="CB34" s="520"/>
      <c r="CC34" s="520"/>
      <c r="CD34" s="520"/>
      <c r="CE34" s="520"/>
      <c r="CF34" s="520"/>
      <c r="CG34" s="520"/>
      <c r="CH34" s="520"/>
      <c r="CI34" s="520"/>
      <c r="CJ34" s="520"/>
      <c r="CK34" s="520"/>
      <c r="CL34" s="520"/>
      <c r="CM34" s="520"/>
      <c r="CN34" s="520"/>
      <c r="CO34" s="520"/>
      <c r="CP34" s="520"/>
      <c r="CQ34" s="520"/>
      <c r="CR34" s="520"/>
      <c r="CS34" s="520"/>
      <c r="CT34" s="520"/>
      <c r="CU34" s="658"/>
    </row>
    <row r="35" spans="2:103" x14ac:dyDescent="0.35">
      <c r="B35" s="149">
        <v>2046</v>
      </c>
      <c r="C35" s="4">
        <f t="shared" si="60"/>
        <v>0.25</v>
      </c>
      <c r="D35" s="34" t="str">
        <f t="shared" si="47"/>
        <v>GB200</v>
      </c>
      <c r="E35" s="2">
        <f t="shared" ref="E35:E38" si="63">E34*(1+C35)</f>
        <v>360245167.03037083</v>
      </c>
      <c r="F35" s="185">
        <f t="shared" ref="F35:F39" si="64">F34</f>
        <v>10000</v>
      </c>
      <c r="G35" s="185">
        <f t="shared" ref="G35:G39" si="65">(E35*F35)/CW$4</f>
        <v>3602.4516703037084</v>
      </c>
      <c r="H35" s="83">
        <f t="shared" si="43"/>
        <v>27.711166694643911</v>
      </c>
      <c r="I35" s="56">
        <f>Calc_Moores_Law!D35</f>
        <v>4.6602372183207397E-2</v>
      </c>
      <c r="J35" s="2">
        <f t="shared" ref="J35:J39" si="66">J34*(1+I35)</f>
        <v>863247.79639966984</v>
      </c>
      <c r="K35" s="2">
        <f t="shared" ref="K35:K39" si="67">E35*J35/CW$3</f>
        <v>310980846.60259861</v>
      </c>
      <c r="L35" s="83">
        <f t="shared" si="44"/>
        <v>3887.2605825324827</v>
      </c>
      <c r="M35" s="2">
        <f t="shared" ref="M35:M39" si="68">SUM(K30:K35)</f>
        <v>1056580724.0985842</v>
      </c>
      <c r="N35" s="83">
        <f t="shared" si="44"/>
        <v>11727.680251147251</v>
      </c>
      <c r="O35" s="56">
        <f>Calc_Moores_Law!Q40</f>
        <v>0.1</v>
      </c>
      <c r="P35" s="34">
        <f t="shared" ref="P35:P39" si="69">P34*(1+O35)</f>
        <v>19705.236674587024</v>
      </c>
      <c r="Q35" s="34">
        <f t="shared" ref="Q35:Q38" si="70">E35*P35/CW$2</f>
        <v>7098716277.2095919</v>
      </c>
      <c r="R35" s="34">
        <f t="shared" ref="R35:R39" si="71">SUM(Q30:Q35)</f>
        <v>22177080607.999676</v>
      </c>
      <c r="S35" s="34">
        <f t="shared" ref="S35:S39" si="72">R35*CW$2/S$7</f>
        <v>551778478.50317669</v>
      </c>
      <c r="T35" s="34">
        <f t="shared" ref="T35:T38" si="73">(M35*CW$3)/T$7</f>
        <v>81905482488.262329</v>
      </c>
      <c r="U35" s="405">
        <v>0.3</v>
      </c>
      <c r="V35" s="34">
        <f t="shared" si="38"/>
        <v>4795897598.1625595</v>
      </c>
      <c r="W35" s="34">
        <f t="shared" si="61"/>
        <v>16476640722.849487</v>
      </c>
      <c r="X35" s="4">
        <f t="shared" si="39"/>
        <v>0.3</v>
      </c>
      <c r="Y35" s="34">
        <f t="shared" ref="Y35:Y39" si="74">Y34*(1+Y$43)</f>
        <v>9725027335.00597</v>
      </c>
      <c r="Z35" s="401">
        <f t="shared" ref="Z35:Z39" si="75">(V35*Z$40)/CW$4</f>
        <v>191835.90392650239</v>
      </c>
      <c r="AA35" s="183">
        <v>2</v>
      </c>
      <c r="AB35" s="1146">
        <f t="shared" ref="AB35:AB39" si="76">(AI35*CW$4)/(W35*W$40)</f>
        <v>104.47014272172881</v>
      </c>
      <c r="AC35" s="611">
        <f t="shared" ref="AC35:AC39" si="77">(AK35*CW$4)/((Y35*0.5)*Y$40)</f>
        <v>52.235071360864403</v>
      </c>
      <c r="AD35" s="401">
        <f t="shared" ref="AD35:AD39" si="78">(AI35*CW$4)/W35</f>
        <v>836596.9029156043</v>
      </c>
      <c r="AE35" s="250">
        <f t="shared" ref="AE35:AE39" si="79">(AD35-AD34)/AD34</f>
        <v>9.0945155211742665E-2</v>
      </c>
      <c r="AF35" s="185">
        <f t="shared" ref="AF35:AF39" si="80">(AK35*CW$4)/Y35</f>
        <v>45653.452369395491</v>
      </c>
      <c r="AG35" s="250">
        <f t="shared" ref="AG35:AG39" si="81">(AF35-AF34)/AF34</f>
        <v>9.0945155211742831E-2</v>
      </c>
      <c r="AH35" s="119">
        <f t="shared" ref="AH35:AH39" si="82">AD35/AF35</f>
        <v>18.324942791762012</v>
      </c>
      <c r="AI35" s="401">
        <f t="shared" ref="AI35:AI39" si="83">(W35*W$40*AC35*AA35)/CW$4</f>
        <v>13784306.599189004</v>
      </c>
      <c r="AJ35" s="250">
        <f t="shared" si="33"/>
        <v>0.41822870177526528</v>
      </c>
      <c r="AK35" s="401">
        <f t="shared" si="34"/>
        <v>443981.07222976419</v>
      </c>
      <c r="AL35" s="250">
        <f>GlobalChipProd_ElecUse!AA36</f>
        <v>0.1</v>
      </c>
      <c r="AM35" s="93">
        <f t="shared" ref="AM35:AM38" si="84">AM34*(1+AL35)</f>
        <v>4.0094978222800179</v>
      </c>
      <c r="AN35" s="401">
        <f t="shared" ref="AN35:AN39" si="85">AI35+AK35</f>
        <v>14228287.671418767</v>
      </c>
      <c r="AO35" s="250">
        <f t="shared" ref="AO35:AO39" si="86">(AN35-AN34)/AN34</f>
        <v>0.40554044880798035</v>
      </c>
      <c r="AP35" s="93">
        <f t="shared" ref="AP35:AP39" si="87">AP34*(1+AO35)</f>
        <v>128.49255436269874</v>
      </c>
      <c r="AQ35" s="1163">
        <f t="shared" ref="AQ35:AQ39" si="88">(AI35)/(AI35+AK35)</f>
        <v>0.96879588869139777</v>
      </c>
      <c r="AR35" s="185"/>
      <c r="AS35" s="185"/>
      <c r="AT35" s="185"/>
      <c r="AU35" s="185"/>
      <c r="AV35" s="185"/>
      <c r="AW35" s="185"/>
      <c r="AX35" s="185"/>
      <c r="AY35" s="185"/>
      <c r="AZ35" s="185"/>
      <c r="BA35" s="185"/>
      <c r="BB35" s="408"/>
      <c r="BC35" s="185"/>
      <c r="BD35" s="185"/>
      <c r="BE35" s="185"/>
      <c r="BF35" s="185"/>
      <c r="BG35" s="185"/>
      <c r="BH35" s="185"/>
      <c r="BI35" s="185"/>
      <c r="BJ35" s="185"/>
      <c r="BK35" s="185"/>
      <c r="BL35" s="185"/>
      <c r="BM35" s="185"/>
      <c r="BN35" s="185"/>
      <c r="BO35" s="185"/>
      <c r="BP35" s="185"/>
      <c r="BQ35" s="185"/>
      <c r="BR35" s="185"/>
      <c r="BS35" s="185"/>
      <c r="BT35" s="185"/>
      <c r="BU35" s="185"/>
      <c r="BV35" s="185"/>
      <c r="BW35" s="185"/>
      <c r="BX35" s="185"/>
      <c r="BY35" s="185"/>
      <c r="BZ35" s="185"/>
      <c r="CA35" s="185"/>
      <c r="CB35" s="185"/>
      <c r="CC35" s="185"/>
      <c r="CD35" s="185"/>
      <c r="CE35" s="185"/>
      <c r="CF35" s="185"/>
      <c r="CG35" s="185"/>
      <c r="CH35" s="185"/>
      <c r="CI35" s="185"/>
      <c r="CJ35" s="185"/>
      <c r="CK35" s="185"/>
      <c r="CL35" s="185"/>
      <c r="CM35" s="185"/>
      <c r="CN35" s="185"/>
      <c r="CO35" s="185"/>
      <c r="CP35" s="185"/>
      <c r="CQ35" s="185"/>
      <c r="CR35" s="185"/>
      <c r="CS35" s="185"/>
      <c r="CT35" s="185"/>
      <c r="CU35" s="932"/>
    </row>
    <row r="36" spans="2:103" x14ac:dyDescent="0.35">
      <c r="B36" s="149">
        <v>2047</v>
      </c>
      <c r="C36" s="4">
        <f t="shared" si="60"/>
        <v>0.25</v>
      </c>
      <c r="D36" s="34" t="str">
        <f t="shared" si="47"/>
        <v>GB200</v>
      </c>
      <c r="E36" s="2">
        <f t="shared" si="63"/>
        <v>450306458.78796351</v>
      </c>
      <c r="F36" s="185">
        <f t="shared" si="64"/>
        <v>10000</v>
      </c>
      <c r="G36" s="185">
        <f t="shared" si="65"/>
        <v>4503.0645878796349</v>
      </c>
      <c r="H36" s="83">
        <f t="shared" si="43"/>
        <v>34.638958368304884</v>
      </c>
      <c r="I36" s="56">
        <f>Calc_Moores_Law!D36</f>
        <v>4.6602372183207397E-2</v>
      </c>
      <c r="J36" s="2">
        <f t="shared" si="66"/>
        <v>903477.19149382086</v>
      </c>
      <c r="K36" s="2">
        <f t="shared" si="67"/>
        <v>406841614.69727725</v>
      </c>
      <c r="L36" s="83">
        <f t="shared" si="44"/>
        <v>5085.5201837159657</v>
      </c>
      <c r="M36" s="2">
        <f t="shared" si="68"/>
        <v>1382274865.3057864</v>
      </c>
      <c r="N36" s="83">
        <f t="shared" si="44"/>
        <v>15342.772463821082</v>
      </c>
      <c r="O36" s="56">
        <f>Calc_Moores_Law!Q41</f>
        <v>0.1</v>
      </c>
      <c r="P36" s="34">
        <f t="shared" si="69"/>
        <v>21675.760342045727</v>
      </c>
      <c r="Q36" s="34">
        <f t="shared" si="70"/>
        <v>9760734881.163187</v>
      </c>
      <c r="R36" s="34">
        <f t="shared" si="71"/>
        <v>30493485835.999557</v>
      </c>
      <c r="S36" s="34">
        <f t="shared" si="72"/>
        <v>758695407.94186795</v>
      </c>
      <c r="T36" s="34">
        <f t="shared" si="73"/>
        <v>107153090333.78188</v>
      </c>
      <c r="U36" s="405">
        <v>0.3</v>
      </c>
      <c r="V36" s="34">
        <f t="shared" si="38"/>
        <v>6234666877.6113272</v>
      </c>
      <c r="W36" s="34">
        <f t="shared" si="61"/>
        <v>21419632939.704334</v>
      </c>
      <c r="X36" s="4">
        <f t="shared" si="39"/>
        <v>0.30000000000000004</v>
      </c>
      <c r="Y36" s="34">
        <f t="shared" si="74"/>
        <v>9805745061.8865185</v>
      </c>
      <c r="Z36" s="401">
        <f t="shared" si="75"/>
        <v>249386.67510445308</v>
      </c>
      <c r="AA36" s="183">
        <v>2</v>
      </c>
      <c r="AB36" s="1146">
        <f t="shared" si="76"/>
        <v>113.97119606654934</v>
      </c>
      <c r="AC36" s="611">
        <f t="shared" si="77"/>
        <v>56.98559803327467</v>
      </c>
      <c r="AD36" s="401">
        <f t="shared" si="78"/>
        <v>912681.33810092718</v>
      </c>
      <c r="AE36" s="250">
        <f t="shared" si="79"/>
        <v>9.094515521174272E-2</v>
      </c>
      <c r="AF36" s="185">
        <f t="shared" si="80"/>
        <v>49805.41268108206</v>
      </c>
      <c r="AG36" s="250">
        <f t="shared" si="81"/>
        <v>9.0945155211742568E-2</v>
      </c>
      <c r="AH36" s="119">
        <f t="shared" si="82"/>
        <v>18.324942791762016</v>
      </c>
      <c r="AI36" s="401">
        <f t="shared" si="83"/>
        <v>19549299.253040049</v>
      </c>
      <c r="AJ36" s="250">
        <f t="shared" si="33"/>
        <v>0.41822870177526572</v>
      </c>
      <c r="AK36" s="401">
        <f t="shared" si="34"/>
        <v>488379.17945274065</v>
      </c>
      <c r="AL36" s="250">
        <f>GlobalChipProd_ElecUse!AA37</f>
        <v>0.1</v>
      </c>
      <c r="AM36" s="93">
        <f t="shared" si="84"/>
        <v>4.4104476045080201</v>
      </c>
      <c r="AN36" s="401">
        <f t="shared" si="85"/>
        <v>20037678.432492789</v>
      </c>
      <c r="AO36" s="250">
        <f t="shared" si="86"/>
        <v>0.40829865794347836</v>
      </c>
      <c r="AP36" s="93">
        <f t="shared" si="87"/>
        <v>180.95589186471807</v>
      </c>
      <c r="AQ36" s="1163">
        <f t="shared" si="88"/>
        <v>0.97562695792837995</v>
      </c>
      <c r="AR36" s="185"/>
      <c r="AS36" s="185"/>
      <c r="AT36" s="185"/>
      <c r="AU36" s="185"/>
      <c r="AV36" s="185"/>
      <c r="AW36" s="185"/>
      <c r="AX36" s="185"/>
      <c r="AY36" s="185"/>
      <c r="AZ36" s="185"/>
      <c r="BA36" s="185"/>
      <c r="BB36" s="408"/>
      <c r="BC36" s="185"/>
      <c r="BD36" s="185"/>
      <c r="BE36" s="185"/>
      <c r="BF36" s="185"/>
      <c r="BG36" s="185"/>
      <c r="BH36" s="185"/>
      <c r="BI36" s="185"/>
      <c r="BJ36" s="185"/>
      <c r="BK36" s="185"/>
      <c r="BL36" s="185"/>
      <c r="BM36" s="185"/>
      <c r="BN36" s="185"/>
      <c r="BO36" s="185"/>
      <c r="BP36" s="185"/>
      <c r="BQ36" s="185"/>
      <c r="BR36" s="185"/>
      <c r="BS36" s="185"/>
      <c r="BT36" s="185"/>
      <c r="BU36" s="185"/>
      <c r="BV36" s="185"/>
      <c r="BW36" s="185"/>
      <c r="BX36" s="185"/>
      <c r="BY36" s="185"/>
      <c r="BZ36" s="185"/>
      <c r="CA36" s="185"/>
      <c r="CB36" s="185"/>
      <c r="CC36" s="185"/>
      <c r="CD36" s="185"/>
      <c r="CE36" s="185"/>
      <c r="CF36" s="185"/>
      <c r="CG36" s="185"/>
      <c r="CH36" s="185"/>
      <c r="CI36" s="185"/>
      <c r="CJ36" s="185"/>
      <c r="CK36" s="185"/>
      <c r="CL36" s="185"/>
      <c r="CM36" s="185"/>
      <c r="CN36" s="185"/>
      <c r="CO36" s="185"/>
      <c r="CP36" s="185"/>
      <c r="CQ36" s="185"/>
      <c r="CR36" s="185"/>
      <c r="CS36" s="185"/>
      <c r="CT36" s="185"/>
      <c r="CU36" s="932"/>
    </row>
    <row r="37" spans="2:103" x14ac:dyDescent="0.35">
      <c r="B37" s="149">
        <v>2048</v>
      </c>
      <c r="C37" s="4">
        <f t="shared" si="60"/>
        <v>0.25</v>
      </c>
      <c r="D37" s="34" t="str">
        <f t="shared" si="47"/>
        <v>GB200</v>
      </c>
      <c r="E37" s="2">
        <f t="shared" si="63"/>
        <v>562883073.48495436</v>
      </c>
      <c r="F37" s="185">
        <f t="shared" si="64"/>
        <v>10000</v>
      </c>
      <c r="G37" s="185">
        <f t="shared" si="65"/>
        <v>5628.8307348495437</v>
      </c>
      <c r="H37" s="83">
        <f t="shared" si="43"/>
        <v>43.298697960381105</v>
      </c>
      <c r="I37" s="56">
        <f>Calc_Moores_Law!D37</f>
        <v>4.6602372183207397E-2</v>
      </c>
      <c r="J37" s="2">
        <f t="shared" si="66"/>
        <v>945581.3718308548</v>
      </c>
      <c r="K37" s="2">
        <f t="shared" si="67"/>
        <v>532251748.80627102</v>
      </c>
      <c r="L37" s="83">
        <f t="shared" si="44"/>
        <v>6653.1468600783874</v>
      </c>
      <c r="M37" s="2">
        <f t="shared" si="68"/>
        <v>1808365191.2978244</v>
      </c>
      <c r="N37" s="83">
        <f t="shared" si="44"/>
        <v>20072.227570627922</v>
      </c>
      <c r="O37" s="56">
        <f>Calc_Moores_Law!Q42</f>
        <v>0.1</v>
      </c>
      <c r="P37" s="34">
        <f t="shared" si="69"/>
        <v>23843.336376250303</v>
      </c>
      <c r="Q37" s="34">
        <f t="shared" si="70"/>
        <v>13421010461.599384</v>
      </c>
      <c r="R37" s="34">
        <f t="shared" si="71"/>
        <v>41928543024.49939</v>
      </c>
      <c r="S37" s="34">
        <f t="shared" si="72"/>
        <v>1043206185.9200684</v>
      </c>
      <c r="T37" s="34">
        <f t="shared" si="73"/>
        <v>140183348162.62204</v>
      </c>
      <c r="U37" s="405">
        <v>0.3</v>
      </c>
      <c r="V37" s="34">
        <f t="shared" si="38"/>
        <v>8105066940.8947258</v>
      </c>
      <c r="W37" s="34">
        <f t="shared" si="61"/>
        <v>27845522821.615635</v>
      </c>
      <c r="X37" s="4">
        <f t="shared" si="39"/>
        <v>0.30000000000000004</v>
      </c>
      <c r="Y37" s="34">
        <f t="shared" si="74"/>
        <v>9887132745.900177</v>
      </c>
      <c r="Z37" s="401">
        <f t="shared" si="75"/>
        <v>324202.67763578903</v>
      </c>
      <c r="AA37" s="183">
        <v>2</v>
      </c>
      <c r="AB37" s="1146">
        <f t="shared" si="76"/>
        <v>124.33632418248962</v>
      </c>
      <c r="AC37" s="611">
        <f t="shared" si="77"/>
        <v>62.16816209124481</v>
      </c>
      <c r="AD37" s="401">
        <f t="shared" si="78"/>
        <v>995685.28405337688</v>
      </c>
      <c r="AE37" s="250">
        <f t="shared" si="79"/>
        <v>9.094515521174254E-2</v>
      </c>
      <c r="AF37" s="185">
        <f t="shared" si="80"/>
        <v>54334.973667747967</v>
      </c>
      <c r="AG37" s="250">
        <f t="shared" si="81"/>
        <v>9.094515521174272E-2</v>
      </c>
      <c r="AH37" s="119">
        <f t="shared" si="82"/>
        <v>18.324942791762012</v>
      </c>
      <c r="AI37" s="401">
        <f t="shared" si="83"/>
        <v>27725377.300255153</v>
      </c>
      <c r="AJ37" s="250">
        <f t="shared" si="33"/>
        <v>0.41822870177526533</v>
      </c>
      <c r="AK37" s="401">
        <f t="shared" si="34"/>
        <v>537217.09739801474</v>
      </c>
      <c r="AL37" s="250">
        <f>GlobalChipProd_ElecUse!AA38</f>
        <v>0.1</v>
      </c>
      <c r="AM37" s="93">
        <f t="shared" si="84"/>
        <v>4.8514923649588226</v>
      </c>
      <c r="AN37" s="401">
        <f t="shared" si="85"/>
        <v>28262594.39765317</v>
      </c>
      <c r="AO37" s="250">
        <f t="shared" si="86"/>
        <v>0.4104725002384999</v>
      </c>
      <c r="AP37" s="93">
        <f t="shared" si="87"/>
        <v>255.23330923131653</v>
      </c>
      <c r="AQ37" s="1163">
        <f t="shared" si="88"/>
        <v>0.9809919397405843</v>
      </c>
      <c r="AR37" s="185"/>
      <c r="AS37" s="185"/>
      <c r="AT37" s="185"/>
      <c r="AU37" s="185"/>
      <c r="AV37" s="185"/>
      <c r="AW37" s="185"/>
      <c r="AX37" s="185"/>
      <c r="AY37" s="185"/>
      <c r="AZ37" s="185"/>
      <c r="BA37" s="185"/>
      <c r="BB37" s="408"/>
      <c r="BC37" s="185"/>
      <c r="BD37" s="185"/>
      <c r="BE37" s="185"/>
      <c r="BF37" s="185"/>
      <c r="BG37" s="185"/>
      <c r="BH37" s="185"/>
      <c r="BI37" s="185"/>
      <c r="BJ37" s="185"/>
      <c r="BK37" s="185"/>
      <c r="BL37" s="185"/>
      <c r="BM37" s="185"/>
      <c r="BN37" s="185"/>
      <c r="BO37" s="185"/>
      <c r="BP37" s="185"/>
      <c r="BQ37" s="185"/>
      <c r="BR37" s="185"/>
      <c r="BS37" s="185"/>
      <c r="BT37" s="185"/>
      <c r="BU37" s="185"/>
      <c r="BV37" s="185"/>
      <c r="BW37" s="185"/>
      <c r="BX37" s="185"/>
      <c r="BY37" s="185"/>
      <c r="BZ37" s="185"/>
      <c r="CA37" s="185"/>
      <c r="CB37" s="185"/>
      <c r="CC37" s="185"/>
      <c r="CD37" s="185"/>
      <c r="CE37" s="185"/>
      <c r="CF37" s="185"/>
      <c r="CG37" s="185"/>
      <c r="CH37" s="185"/>
      <c r="CI37" s="185"/>
      <c r="CJ37" s="185"/>
      <c r="CK37" s="185"/>
      <c r="CL37" s="185"/>
      <c r="CM37" s="185"/>
      <c r="CN37" s="185"/>
      <c r="CO37" s="185"/>
      <c r="CP37" s="185"/>
      <c r="CQ37" s="185"/>
      <c r="CR37" s="185"/>
      <c r="CS37" s="185"/>
      <c r="CT37" s="185"/>
      <c r="CU37" s="932"/>
    </row>
    <row r="38" spans="2:103" x14ac:dyDescent="0.35">
      <c r="B38" s="149">
        <v>2049</v>
      </c>
      <c r="C38" s="4">
        <f t="shared" si="60"/>
        <v>0.25</v>
      </c>
      <c r="D38" s="34" t="str">
        <f t="shared" si="47"/>
        <v>GB200</v>
      </c>
      <c r="E38" s="2">
        <f t="shared" si="63"/>
        <v>703603841.85619295</v>
      </c>
      <c r="F38" s="185">
        <f t="shared" si="64"/>
        <v>10000</v>
      </c>
      <c r="G38" s="185">
        <f t="shared" si="65"/>
        <v>7036.0384185619296</v>
      </c>
      <c r="H38" s="83">
        <f t="shared" si="43"/>
        <v>54.123372450476381</v>
      </c>
      <c r="I38" s="56">
        <f>Calc_Moores_Law!D38</f>
        <v>4.6602372183207397E-2</v>
      </c>
      <c r="J38" s="2">
        <f t="shared" si="66"/>
        <v>989647.70685042406</v>
      </c>
      <c r="K38" s="2">
        <f t="shared" si="67"/>
        <v>696319928.62412977</v>
      </c>
      <c r="L38" s="83">
        <f t="shared" si="44"/>
        <v>8703.999107801621</v>
      </c>
      <c r="M38" s="2">
        <f t="shared" si="68"/>
        <v>2365799123.7323031</v>
      </c>
      <c r="N38" s="83">
        <f t="shared" si="44"/>
        <v>26259.551238025448</v>
      </c>
      <c r="O38" s="56">
        <f>Calc_Moores_Law!Q43</f>
        <v>0.1</v>
      </c>
      <c r="P38" s="34">
        <f t="shared" si="69"/>
        <v>26227.670013875337</v>
      </c>
      <c r="Q38" s="34">
        <f t="shared" si="70"/>
        <v>18453889384.699158</v>
      </c>
      <c r="R38" s="34">
        <f t="shared" si="71"/>
        <v>57651746658.686676</v>
      </c>
      <c r="S38" s="34">
        <f t="shared" si="72"/>
        <v>1434408505.6400945</v>
      </c>
      <c r="T38" s="34">
        <f t="shared" si="73"/>
        <v>183395280909.48087</v>
      </c>
      <c r="U38" s="405">
        <v>0.3</v>
      </c>
      <c r="V38" s="34">
        <f t="shared" si="38"/>
        <v>10536587023.163143</v>
      </c>
      <c r="W38" s="34">
        <f t="shared" si="61"/>
        <v>36199179668.100327</v>
      </c>
      <c r="X38" s="4">
        <f t="shared" si="39"/>
        <v>0.30000000000000004</v>
      </c>
      <c r="Y38" s="34">
        <f t="shared" si="74"/>
        <v>9969195947.6911488</v>
      </c>
      <c r="Z38" s="401">
        <f t="shared" si="75"/>
        <v>421463.48092652578</v>
      </c>
      <c r="AA38" s="183">
        <v>2</v>
      </c>
      <c r="AB38" s="1146">
        <f t="shared" si="76"/>
        <v>135.64411048372367</v>
      </c>
      <c r="AC38" s="611">
        <f t="shared" si="77"/>
        <v>67.822055241861833</v>
      </c>
      <c r="AD38" s="401">
        <f t="shared" si="78"/>
        <v>1086238.0367536591</v>
      </c>
      <c r="AE38" s="250">
        <f t="shared" si="79"/>
        <v>9.0945155211742484E-2</v>
      </c>
      <c r="AF38" s="185">
        <f t="shared" si="80"/>
        <v>59276.476281387251</v>
      </c>
      <c r="AG38" s="250">
        <f t="shared" si="81"/>
        <v>9.0945155211742568E-2</v>
      </c>
      <c r="AH38" s="119">
        <f t="shared" si="82"/>
        <v>18.324942791762012</v>
      </c>
      <c r="AI38" s="401">
        <f t="shared" si="83"/>
        <v>39320925.854770273</v>
      </c>
      <c r="AJ38" s="250">
        <f t="shared" si="33"/>
        <v>0.41822870177526517</v>
      </c>
      <c r="AK38" s="401">
        <f t="shared" si="34"/>
        <v>590938.80713781621</v>
      </c>
      <c r="AL38" s="250">
        <f>GlobalChipProd_ElecUse!AA39</f>
        <v>0.1</v>
      </c>
      <c r="AM38" s="93">
        <f t="shared" si="84"/>
        <v>5.3366416014547049</v>
      </c>
      <c r="AN38" s="401">
        <f t="shared" si="85"/>
        <v>39911864.66190809</v>
      </c>
      <c r="AO38" s="250">
        <f t="shared" si="86"/>
        <v>0.41217979143564526</v>
      </c>
      <c r="AP38" s="93">
        <f t="shared" si="87"/>
        <v>360.43532139771014</v>
      </c>
      <c r="AQ38" s="1163">
        <f t="shared" si="88"/>
        <v>0.98519390631974635</v>
      </c>
      <c r="AR38" s="185"/>
      <c r="AS38" s="185"/>
      <c r="AT38" s="185"/>
      <c r="AU38" s="185"/>
      <c r="AV38" s="185"/>
      <c r="AW38" s="185"/>
      <c r="AX38" s="185"/>
      <c r="AY38" s="185"/>
      <c r="AZ38" s="185"/>
      <c r="BA38" s="185"/>
      <c r="BB38" s="408"/>
      <c r="BC38" s="185"/>
      <c r="BD38" s="185"/>
      <c r="BE38" s="185"/>
      <c r="BF38" s="185"/>
      <c r="BG38" s="185"/>
      <c r="BH38" s="185"/>
      <c r="BI38" s="185"/>
      <c r="BJ38" s="185"/>
      <c r="BK38" s="185"/>
      <c r="BL38" s="185"/>
      <c r="BM38" s="185"/>
      <c r="BN38" s="185"/>
      <c r="BO38" s="185"/>
      <c r="BP38" s="185"/>
      <c r="BQ38" s="185"/>
      <c r="BR38" s="185"/>
      <c r="BS38" s="185"/>
      <c r="BT38" s="185"/>
      <c r="BU38" s="185"/>
      <c r="BV38" s="185"/>
      <c r="BW38" s="185"/>
      <c r="BX38" s="185"/>
      <c r="BY38" s="185"/>
      <c r="BZ38" s="185"/>
      <c r="CA38" s="185"/>
      <c r="CB38" s="185"/>
      <c r="CC38" s="185"/>
      <c r="CD38" s="185"/>
      <c r="CE38" s="185"/>
      <c r="CF38" s="185"/>
      <c r="CG38" s="185"/>
      <c r="CH38" s="185"/>
      <c r="CI38" s="185"/>
      <c r="CJ38" s="185"/>
      <c r="CK38" s="185"/>
      <c r="CL38" s="185"/>
      <c r="CM38" s="185"/>
      <c r="CN38" s="185"/>
      <c r="CO38" s="185"/>
      <c r="CP38" s="185"/>
      <c r="CQ38" s="185"/>
      <c r="CR38" s="185"/>
      <c r="CS38" s="185"/>
      <c r="CT38" s="185"/>
      <c r="CU38" s="932"/>
    </row>
    <row r="39" spans="2:103" ht="15" thickBot="1" x14ac:dyDescent="0.4">
      <c r="B39" s="1147">
        <v>2050</v>
      </c>
      <c r="C39" s="1148">
        <f t="shared" si="60"/>
        <v>0.25</v>
      </c>
      <c r="D39" s="673" t="str">
        <f t="shared" si="47"/>
        <v>GB200</v>
      </c>
      <c r="E39" s="684">
        <f>E38*(1+C39)</f>
        <v>879504802.32024121</v>
      </c>
      <c r="F39" s="1149">
        <f t="shared" si="64"/>
        <v>10000</v>
      </c>
      <c r="G39" s="1149">
        <f t="shared" si="65"/>
        <v>8795.0480232024129</v>
      </c>
      <c r="H39" s="1158">
        <f t="shared" si="43"/>
        <v>67.654215563095477</v>
      </c>
      <c r="I39" s="1150">
        <f>Calc_Moores_Law!D39</f>
        <v>4.6602372183207397E-2</v>
      </c>
      <c r="J39" s="684">
        <f t="shared" si="66"/>
        <v>1035767.6376153253</v>
      </c>
      <c r="K39" s="684">
        <f t="shared" si="67"/>
        <v>910962611.37056983</v>
      </c>
      <c r="L39" s="1158">
        <f t="shared" si="44"/>
        <v>11387.032642132121</v>
      </c>
      <c r="M39" s="684">
        <f t="shared" si="68"/>
        <v>3095063718.7589774</v>
      </c>
      <c r="N39" s="1158">
        <f t="shared" si="44"/>
        <v>34354.135772729896</v>
      </c>
      <c r="O39" s="1150">
        <f>Calc_Moores_Law!Q44</f>
        <v>0.1</v>
      </c>
      <c r="P39" s="673">
        <f t="shared" si="69"/>
        <v>28850.437015262873</v>
      </c>
      <c r="Q39" s="673">
        <f>E39*P39/CW$2</f>
        <v>25374097903.961342</v>
      </c>
      <c r="R39" s="673">
        <f t="shared" si="71"/>
        <v>79271151655.694183</v>
      </c>
      <c r="S39" s="673">
        <f t="shared" si="72"/>
        <v>1972311695.2551301</v>
      </c>
      <c r="T39" s="673">
        <f>(M39*CW$3)/T$7</f>
        <v>239927420058.83548</v>
      </c>
      <c r="U39" s="1136">
        <v>0.3</v>
      </c>
      <c r="V39" s="673">
        <f t="shared" si="38"/>
        <v>13697563130.112087</v>
      </c>
      <c r="W39" s="673">
        <f t="shared" si="61"/>
        <v>47058933568.530426</v>
      </c>
      <c r="X39" s="1148">
        <f>(W39-W38)/W38</f>
        <v>0.30000000000000004</v>
      </c>
      <c r="Y39" s="673">
        <f t="shared" si="74"/>
        <v>10051940274.056986</v>
      </c>
      <c r="Z39" s="674">
        <f t="shared" si="75"/>
        <v>547902.52520448354</v>
      </c>
      <c r="AA39" s="687">
        <v>2</v>
      </c>
      <c r="AB39" s="1151">
        <f t="shared" si="76"/>
        <v>147.98028516522467</v>
      </c>
      <c r="AC39" s="1152">
        <f t="shared" si="77"/>
        <v>73.990142582612336</v>
      </c>
      <c r="AD39" s="674">
        <f t="shared" si="78"/>
        <v>1185026.123603119</v>
      </c>
      <c r="AE39" s="1153">
        <f t="shared" si="79"/>
        <v>9.0945155211742429E-2</v>
      </c>
      <c r="AF39" s="1149">
        <f t="shared" si="80"/>
        <v>64667.384617203184</v>
      </c>
      <c r="AG39" s="1153">
        <f t="shared" si="81"/>
        <v>9.0945155211742443E-2</v>
      </c>
      <c r="AH39" s="1154">
        <f t="shared" si="82"/>
        <v>18.324942791762012</v>
      </c>
      <c r="AI39" s="674">
        <f t="shared" si="83"/>
        <v>55766065.627612308</v>
      </c>
      <c r="AJ39" s="1153">
        <f t="shared" si="33"/>
        <v>0.41822870177526528</v>
      </c>
      <c r="AK39" s="674">
        <f t="shared" si="34"/>
        <v>650032.6878515979</v>
      </c>
      <c r="AL39" s="1153">
        <f>GlobalChipProd_ElecUse!AA40</f>
        <v>0.1</v>
      </c>
      <c r="AM39" s="676">
        <f>AM38*(1+AL39)</f>
        <v>5.8703057616001759</v>
      </c>
      <c r="AN39" s="674">
        <f t="shared" si="85"/>
        <v>56416098.315463908</v>
      </c>
      <c r="AO39" s="1153">
        <f t="shared" si="86"/>
        <v>0.41351697780503521</v>
      </c>
      <c r="AP39" s="676">
        <f t="shared" si="87"/>
        <v>509.48144619627777</v>
      </c>
      <c r="AQ39" s="1164">
        <f t="shared" si="88"/>
        <v>0.98847788650294832</v>
      </c>
      <c r="AR39" s="1149"/>
      <c r="AS39" s="1149"/>
      <c r="AT39" s="1149"/>
      <c r="AU39" s="1149"/>
      <c r="AV39" s="1149"/>
      <c r="AW39" s="1149"/>
      <c r="AX39" s="1149"/>
      <c r="AY39" s="1149"/>
      <c r="AZ39" s="1149"/>
      <c r="BA39" s="1149"/>
      <c r="BB39" s="1156"/>
      <c r="BC39" s="1149"/>
      <c r="BD39" s="1149"/>
      <c r="BE39" s="1149"/>
      <c r="BF39" s="1149"/>
      <c r="BG39" s="1149"/>
      <c r="BH39" s="1149"/>
      <c r="BI39" s="1149"/>
      <c r="BJ39" s="1149"/>
      <c r="BK39" s="1149"/>
      <c r="BL39" s="1149"/>
      <c r="BM39" s="1149"/>
      <c r="BN39" s="1149"/>
      <c r="BO39" s="1149"/>
      <c r="BP39" s="1149"/>
      <c r="BQ39" s="1149"/>
      <c r="BR39" s="1149"/>
      <c r="BS39" s="1149"/>
      <c r="BT39" s="1149"/>
      <c r="BU39" s="1149"/>
      <c r="BV39" s="1149"/>
      <c r="BW39" s="1149"/>
      <c r="BX39" s="1149"/>
      <c r="BY39" s="1149"/>
      <c r="BZ39" s="1149"/>
      <c r="CA39" s="1149"/>
      <c r="CB39" s="1149"/>
      <c r="CC39" s="1149"/>
      <c r="CD39" s="1149"/>
      <c r="CE39" s="1149"/>
      <c r="CF39" s="1149"/>
      <c r="CG39" s="1149"/>
      <c r="CH39" s="1149"/>
      <c r="CI39" s="1149"/>
      <c r="CJ39" s="1149"/>
      <c r="CK39" s="1149"/>
      <c r="CL39" s="1149"/>
      <c r="CM39" s="1149"/>
      <c r="CN39" s="1149"/>
      <c r="CO39" s="1149"/>
      <c r="CP39" s="1149"/>
      <c r="CQ39" s="1149"/>
      <c r="CR39" s="1149"/>
      <c r="CS39" s="1149"/>
      <c r="CT39" s="1149"/>
      <c r="CU39" s="1157"/>
    </row>
    <row r="40" spans="2:103" ht="16" thickTop="1" x14ac:dyDescent="0.35">
      <c r="B40" s="124"/>
      <c r="C40" s="31"/>
      <c r="D40" s="31" t="s">
        <v>2594</v>
      </c>
      <c r="F40" s="31"/>
      <c r="G40" s="667">
        <f>(85000000*30000)/CW4</f>
        <v>2550</v>
      </c>
      <c r="H40" s="667"/>
      <c r="J40" s="31"/>
      <c r="K40" s="31"/>
      <c r="L40" s="31"/>
      <c r="M40" s="31"/>
      <c r="N40" s="31"/>
      <c r="O40" s="31"/>
      <c r="P40" s="31"/>
      <c r="Q40" s="31"/>
      <c r="R40" s="31"/>
      <c r="S40" s="31"/>
      <c r="U40" t="s">
        <v>1958</v>
      </c>
      <c r="W40" s="172">
        <f>7*22*52</f>
        <v>8008</v>
      </c>
      <c r="X40" s="172"/>
      <c r="Y40" s="172">
        <f>38*(52-6)</f>
        <v>1748</v>
      </c>
      <c r="Z40" s="667">
        <f>AI_Models!Q26</f>
        <v>40000</v>
      </c>
      <c r="AA40" t="s">
        <v>2622</v>
      </c>
      <c r="AC40" s="69" t="s">
        <v>2611</v>
      </c>
      <c r="AF40" s="69"/>
      <c r="AG40" s="69"/>
      <c r="AH40" s="69"/>
      <c r="AR40" s="31" t="s">
        <v>2524</v>
      </c>
      <c r="AS40" s="31" t="s">
        <v>2524</v>
      </c>
      <c r="AT40" s="31" t="s">
        <v>1216</v>
      </c>
      <c r="AU40" s="31" t="s">
        <v>2640</v>
      </c>
      <c r="AV40" s="31" t="s">
        <v>2640</v>
      </c>
      <c r="AW40" s="31" t="s">
        <v>2529</v>
      </c>
      <c r="AX40" s="31" t="s">
        <v>2529</v>
      </c>
      <c r="AY40" s="31" t="s">
        <v>1220</v>
      </c>
      <c r="AZ40" s="31" t="s">
        <v>2525</v>
      </c>
      <c r="BA40" s="31" t="s">
        <v>1220</v>
      </c>
      <c r="BB40" s="31" t="s">
        <v>2524</v>
      </c>
      <c r="BC40" s="31" t="s">
        <v>2525</v>
      </c>
      <c r="BD40" s="31" t="s">
        <v>1220</v>
      </c>
      <c r="BE40" s="31" t="s">
        <v>2528</v>
      </c>
      <c r="BF40" s="31" t="s">
        <v>1220</v>
      </c>
      <c r="BG40" s="31" t="s">
        <v>2535</v>
      </c>
      <c r="BH40" s="31" t="s">
        <v>2529</v>
      </c>
      <c r="BI40" s="31" t="s">
        <v>1220</v>
      </c>
      <c r="BJ40" s="31" t="s">
        <v>1220</v>
      </c>
      <c r="BK40" s="31" t="s">
        <v>2535</v>
      </c>
      <c r="BL40" s="31" t="s">
        <v>2922</v>
      </c>
      <c r="BM40" s="31" t="s">
        <v>1220</v>
      </c>
      <c r="BN40" s="31" t="s">
        <v>1220</v>
      </c>
      <c r="BO40" s="31" t="s">
        <v>2729</v>
      </c>
      <c r="BP40" s="31" t="s">
        <v>2734</v>
      </c>
      <c r="BQ40" s="31" t="s">
        <v>2528</v>
      </c>
      <c r="BR40" s="31" t="s">
        <v>2529</v>
      </c>
      <c r="BS40" s="31" t="s">
        <v>2767</v>
      </c>
      <c r="BT40" s="31" t="s">
        <v>2671</v>
      </c>
      <c r="BU40" s="31" t="s">
        <v>2535</v>
      </c>
      <c r="BV40" s="31" t="s">
        <v>2766</v>
      </c>
      <c r="BW40" s="31" t="s">
        <v>2528</v>
      </c>
      <c r="BX40" s="31" t="s">
        <v>1220</v>
      </c>
      <c r="BY40" s="31" t="s">
        <v>1220</v>
      </c>
      <c r="BZ40" s="31" t="s">
        <v>1220</v>
      </c>
      <c r="CA40" s="31" t="s">
        <v>1220</v>
      </c>
      <c r="CB40" s="31" t="s">
        <v>1220</v>
      </c>
      <c r="CC40" s="31" t="s">
        <v>2671</v>
      </c>
      <c r="CD40" s="31" t="s">
        <v>1220</v>
      </c>
      <c r="CE40" s="31" t="s">
        <v>1220</v>
      </c>
      <c r="CF40" s="31" t="s">
        <v>1220</v>
      </c>
      <c r="CG40" s="31" t="s">
        <v>1220</v>
      </c>
      <c r="CH40" s="31" t="s">
        <v>1220</v>
      </c>
      <c r="CI40" s="31" t="s">
        <v>1220</v>
      </c>
      <c r="CJ40" s="31" t="s">
        <v>1220</v>
      </c>
      <c r="CK40" s="31" t="s">
        <v>1222</v>
      </c>
      <c r="CL40" s="31" t="s">
        <v>1222</v>
      </c>
      <c r="CM40" s="31" t="s">
        <v>1222</v>
      </c>
      <c r="CN40" s="31" t="s">
        <v>1222</v>
      </c>
      <c r="CO40" s="31" t="s">
        <v>1222</v>
      </c>
      <c r="CP40" s="31" t="s">
        <v>1222</v>
      </c>
      <c r="CQ40" s="31" t="s">
        <v>1222</v>
      </c>
      <c r="CR40" s="31" t="s">
        <v>2652</v>
      </c>
      <c r="CS40" s="31" t="s">
        <v>2652</v>
      </c>
      <c r="CT40" s="31" t="s">
        <v>2652</v>
      </c>
      <c r="CU40" s="31" t="s">
        <v>45</v>
      </c>
    </row>
    <row r="41" spans="2:103" x14ac:dyDescent="0.35">
      <c r="D41" t="s">
        <v>2595</v>
      </c>
      <c r="G41" s="185">
        <v>4300</v>
      </c>
      <c r="H41" s="185"/>
      <c r="U41" s="69"/>
      <c r="V41" s="69"/>
      <c r="W41" t="s">
        <v>2623</v>
      </c>
      <c r="Y41" t="s">
        <v>2624</v>
      </c>
      <c r="Z41" t="s">
        <v>2606</v>
      </c>
      <c r="AA41" s="69"/>
      <c r="AB41" s="69"/>
      <c r="AD41" t="s">
        <v>2625</v>
      </c>
      <c r="AI41" s="185"/>
      <c r="AJ41" s="69"/>
      <c r="AK41" s="185"/>
      <c r="AN41" s="185"/>
      <c r="AR41" t="s">
        <v>2539</v>
      </c>
      <c r="AS41" t="s">
        <v>2694</v>
      </c>
      <c r="AT41" t="s">
        <v>2635</v>
      </c>
      <c r="AU41" t="s">
        <v>2635</v>
      </c>
      <c r="AV41" t="s">
        <v>2744</v>
      </c>
      <c r="AW41" t="s">
        <v>2538</v>
      </c>
      <c r="AX41" t="s">
        <v>2845</v>
      </c>
      <c r="AY41" t="s">
        <v>2847</v>
      </c>
      <c r="AZ41" t="s">
        <v>2636</v>
      </c>
      <c r="BA41" t="s">
        <v>2537</v>
      </c>
      <c r="BB41" t="s">
        <v>2635</v>
      </c>
      <c r="BC41" t="s">
        <v>2637</v>
      </c>
      <c r="BD41" t="s">
        <v>2637</v>
      </c>
      <c r="BE41" t="s">
        <v>2527</v>
      </c>
      <c r="BF41" t="s">
        <v>2536</v>
      </c>
      <c r="BG41" t="s">
        <v>2536</v>
      </c>
      <c r="BH41" t="s">
        <v>2536</v>
      </c>
      <c r="BI41" t="s">
        <v>2648</v>
      </c>
      <c r="BJ41" t="s">
        <v>2648</v>
      </c>
      <c r="BK41" t="s">
        <v>2701</v>
      </c>
      <c r="BL41" t="s">
        <v>2923</v>
      </c>
      <c r="BM41" t="s">
        <v>2701</v>
      </c>
      <c r="BN41" t="s">
        <v>2701</v>
      </c>
      <c r="BO41" t="s">
        <v>2730</v>
      </c>
      <c r="BP41" t="s">
        <v>2735</v>
      </c>
      <c r="BQ41" t="s">
        <v>2751</v>
      </c>
      <c r="BR41" t="s">
        <v>2769</v>
      </c>
      <c r="BS41" t="s">
        <v>2770</v>
      </c>
      <c r="BT41" t="s">
        <v>2773</v>
      </c>
      <c r="BU41" t="s">
        <v>2774</v>
      </c>
      <c r="BV41" t="s">
        <v>2775</v>
      </c>
      <c r="BW41" t="s">
        <v>2765</v>
      </c>
      <c r="BX41" t="s">
        <v>2752</v>
      </c>
      <c r="BY41" t="s">
        <v>2753</v>
      </c>
      <c r="BZ41" t="s">
        <v>2754</v>
      </c>
      <c r="CA41" t="s">
        <v>2676</v>
      </c>
      <c r="CB41" t="s">
        <v>2676</v>
      </c>
      <c r="CC41" t="s">
        <v>2676</v>
      </c>
      <c r="CD41" t="s">
        <v>2527</v>
      </c>
      <c r="CE41" s="31" t="s">
        <v>2660</v>
      </c>
      <c r="CF41" s="31" t="s">
        <v>2680</v>
      </c>
      <c r="CG41" t="s">
        <v>2647</v>
      </c>
      <c r="CH41" t="s">
        <v>2676</v>
      </c>
      <c r="CI41" t="s">
        <v>3071</v>
      </c>
      <c r="CJ41" t="s">
        <v>3074</v>
      </c>
      <c r="CK41" t="s">
        <v>2679</v>
      </c>
      <c r="CL41" t="s">
        <v>492</v>
      </c>
      <c r="CM41" t="s">
        <v>2713</v>
      </c>
      <c r="CN41" t="s">
        <v>2916</v>
      </c>
      <c r="CO41" t="s">
        <v>2915</v>
      </c>
      <c r="CP41" t="s">
        <v>2691</v>
      </c>
      <c r="CQ41" t="s">
        <v>2647</v>
      </c>
      <c r="CR41" t="s">
        <v>2653</v>
      </c>
      <c r="CS41" t="s">
        <v>2655</v>
      </c>
      <c r="CT41" t="s">
        <v>2918</v>
      </c>
      <c r="CU41" t="s">
        <v>45</v>
      </c>
    </row>
    <row r="42" spans="2:103" x14ac:dyDescent="0.35">
      <c r="D42" t="s">
        <v>2596</v>
      </c>
      <c r="G42" s="185">
        <v>3300</v>
      </c>
      <c r="H42" s="185"/>
      <c r="T42" s="69"/>
      <c r="U42" s="69"/>
      <c r="V42" s="69"/>
      <c r="W42" s="69"/>
      <c r="X42" s="69"/>
      <c r="Y42" s="6">
        <f>W40/Y40</f>
        <v>4.5812356979405031</v>
      </c>
      <c r="Z42" s="69"/>
      <c r="AA42" s="69"/>
      <c r="AB42" s="185"/>
      <c r="AD42" s="185">
        <f>AF34*AA34*Y42*2</f>
        <v>766855.14291800326</v>
      </c>
      <c r="AE42" s="185"/>
      <c r="AH42" s="12">
        <f>2*AA34*Y42</f>
        <v>18.324942791762012</v>
      </c>
      <c r="AI42" s="69" t="s">
        <v>2627</v>
      </c>
      <c r="AJ42" s="185"/>
      <c r="AK42" s="185"/>
      <c r="AN42" s="185"/>
      <c r="AR42" t="s">
        <v>45</v>
      </c>
    </row>
    <row r="43" spans="2:103" x14ac:dyDescent="0.35">
      <c r="G43" s="185"/>
      <c r="H43" s="185"/>
      <c r="T43" s="69"/>
      <c r="U43" s="69"/>
      <c r="V43" s="69"/>
      <c r="W43" s="69"/>
      <c r="X43" s="69"/>
      <c r="Y43" s="355">
        <v>8.3000000000000001E-3</v>
      </c>
      <c r="Z43" s="69"/>
      <c r="AA43" s="69"/>
      <c r="AB43" s="69"/>
      <c r="AC43" s="69"/>
      <c r="AH43" s="12">
        <f>2*AA15*Y42</f>
        <v>0.91624713958810067</v>
      </c>
      <c r="AI43" s="69" t="s">
        <v>2628</v>
      </c>
      <c r="AJ43" s="69"/>
      <c r="AK43" s="611"/>
      <c r="AL43" s="611"/>
      <c r="AM43" s="611"/>
      <c r="AN43" s="611"/>
      <c r="AO43" s="611"/>
      <c r="AP43" s="611"/>
    </row>
    <row r="44" spans="2:103" ht="24" thickBot="1" x14ac:dyDescent="0.6">
      <c r="B44" s="30" t="s">
        <v>38</v>
      </c>
      <c r="C44" s="31"/>
      <c r="D44" s="31"/>
      <c r="E44" s="31"/>
      <c r="F44" s="31"/>
      <c r="G44" s="31"/>
      <c r="H44" s="31"/>
      <c r="I44" s="31"/>
      <c r="J44" s="31"/>
      <c r="K44" s="31"/>
      <c r="L44" s="31"/>
      <c r="M44" s="31"/>
      <c r="N44" s="31"/>
      <c r="O44" s="31"/>
      <c r="S44" s="85"/>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82" t="s">
        <v>32</v>
      </c>
      <c r="CY44" s="82"/>
    </row>
    <row r="45" spans="2:103" ht="15" thickTop="1" x14ac:dyDescent="0.35">
      <c r="B45" s="76" t="s">
        <v>7</v>
      </c>
      <c r="C45" s="77" t="str">
        <f t="shared" ref="C45:M45" si="89">C5</f>
        <v>Annual</v>
      </c>
      <c r="D45" s="77"/>
      <c r="E45" s="77" t="str">
        <f t="shared" si="89"/>
        <v># of new AI</v>
      </c>
      <c r="F45" s="77" t="str">
        <f t="shared" ref="F45" si="90">F5</f>
        <v>Price of 1</v>
      </c>
      <c r="G45" s="77" t="str">
        <f t="shared" si="89"/>
        <v>Global AI</v>
      </c>
      <c r="H45" s="77"/>
      <c r="I45" s="19" t="str">
        <f t="shared" si="89"/>
        <v>Moore's law</v>
      </c>
      <c r="J45" s="77" t="str">
        <f t="shared" si="89"/>
        <v xml:space="preserve">TFLOPS </v>
      </c>
      <c r="K45" s="77" t="str">
        <f t="shared" si="89"/>
        <v xml:space="preserve">New global </v>
      </c>
      <c r="L45" s="77"/>
      <c r="M45" s="77" t="str">
        <f t="shared" si="89"/>
        <v>Global exa-flops</v>
      </c>
      <c r="N45" s="77"/>
      <c r="O45" s="77" t="str">
        <f t="shared" ref="O45" si="91">O5</f>
        <v>Moore's Law</v>
      </c>
      <c r="P45" s="77" t="str">
        <f>P5</f>
        <v>GB HBM</v>
      </c>
      <c r="Q45" s="77" t="str">
        <f t="shared" ref="Q45:R45" si="92">Q5</f>
        <v>Global TB</v>
      </c>
      <c r="R45" s="77" t="str">
        <f t="shared" si="92"/>
        <v>Global TB RAM</v>
      </c>
      <c r="S45" s="77" t="str">
        <f>S5</f>
        <v># of AGI brains</v>
      </c>
      <c r="T45" s="77" t="str">
        <f>T5</f>
        <v># of AGI brains</v>
      </c>
      <c r="U45" s="77" t="str">
        <f t="shared" ref="U45:W45" si="93">U5</f>
        <v>Growth pct</v>
      </c>
      <c r="V45" s="77" t="str">
        <f t="shared" si="93"/>
        <v>Expected</v>
      </c>
      <c r="W45" s="77" t="str">
        <f t="shared" si="93"/>
        <v>Global population</v>
      </c>
      <c r="X45" s="77" t="str">
        <f t="shared" ref="X45" si="94">X5</f>
        <v>Growth %</v>
      </c>
      <c r="Y45" s="77" t="str">
        <f t="shared" ref="Y45:AA47" si="95">Y5</f>
        <v>Global population</v>
      </c>
      <c r="Z45" s="77" t="str">
        <f t="shared" si="95"/>
        <v>Cost of android</v>
      </c>
      <c r="AA45" s="77" t="str">
        <f t="shared" si="95"/>
        <v>Android GDP hourly</v>
      </c>
      <c r="AB45" s="77" t="str">
        <f t="shared" ref="AB45:AO45" si="96">AB5</f>
        <v>Android GDP</v>
      </c>
      <c r="AC45" s="77" t="str">
        <f t="shared" si="96"/>
        <v>Human GDP</v>
      </c>
      <c r="AD45" s="77" t="str">
        <f t="shared" si="96"/>
        <v>Android GDP</v>
      </c>
      <c r="AE45" s="77" t="str">
        <f t="shared" ref="AE45:AH45" si="97">AE5</f>
        <v>Productivity</v>
      </c>
      <c r="AF45" s="77" t="str">
        <f t="shared" si="97"/>
        <v>Human GDP</v>
      </c>
      <c r="AG45" s="77" t="str">
        <f t="shared" ref="AG45" si="98">AG5</f>
        <v>Productivity</v>
      </c>
      <c r="AH45" s="77" t="str">
        <f t="shared" si="97"/>
        <v>Android GDP</v>
      </c>
      <c r="AI45" s="77" t="str">
        <f t="shared" si="96"/>
        <v>Predicted android</v>
      </c>
      <c r="AJ45" s="77" t="str">
        <f>AJ5</f>
        <v>Predicted android</v>
      </c>
      <c r="AK45" s="77" t="str">
        <f t="shared" si="96"/>
        <v>Pridicted human</v>
      </c>
      <c r="AL45" s="77" t="str">
        <f>AL5</f>
        <v>Predicted human</v>
      </c>
      <c r="AM45" s="77"/>
      <c r="AN45" s="77" t="str">
        <f t="shared" si="96"/>
        <v>Predicted global GDP</v>
      </c>
      <c r="AO45" s="77" t="str">
        <f t="shared" si="96"/>
        <v xml:space="preserve">Predicted global </v>
      </c>
      <c r="AP45" s="77"/>
      <c r="AQ45" s="77" t="str">
        <f t="shared" ref="AQ45:AQ47" si="99">AQ5</f>
        <v>Pct of global GDP</v>
      </c>
      <c r="AR45" s="76" t="str">
        <f t="shared" ref="AR45:AT45" si="100">AR5</f>
        <v xml:space="preserve">Nvidia </v>
      </c>
      <c r="AS45" s="77" t="str">
        <f t="shared" ref="AS45" si="101">AS5</f>
        <v>Apple</v>
      </c>
      <c r="AT45" s="77" t="str">
        <f t="shared" si="100"/>
        <v>TSMC</v>
      </c>
      <c r="AU45" s="168" t="str">
        <f t="shared" ref="AU45:AV45" si="102">AU5</f>
        <v>UMC United Microelectronics Corporation</v>
      </c>
      <c r="AV45" s="168" t="str">
        <f t="shared" si="102"/>
        <v>Foxconn</v>
      </c>
      <c r="AW45" s="77" t="str">
        <f t="shared" ref="AW45" si="103">AW5</f>
        <v>ASLM</v>
      </c>
      <c r="AX45" s="77"/>
      <c r="AY45" s="77"/>
      <c r="AZ45" s="77" t="str">
        <f t="shared" ref="AZ45:BJ45" si="104">AZ5</f>
        <v>Samsung</v>
      </c>
      <c r="BA45" s="77" t="str">
        <f t="shared" si="104"/>
        <v>Intel</v>
      </c>
      <c r="BB45" s="77" t="str">
        <f t="shared" ref="BB45" si="105">BB5</f>
        <v>Global Foundries</v>
      </c>
      <c r="BC45" s="77" t="str">
        <f t="shared" si="104"/>
        <v xml:space="preserve">SK Hynix </v>
      </c>
      <c r="BD45" s="77" t="str">
        <f t="shared" si="104"/>
        <v>Micron</v>
      </c>
      <c r="BE45" s="77" t="str">
        <f t="shared" si="104"/>
        <v>Arm</v>
      </c>
      <c r="BF45" s="77" t="str">
        <f t="shared" si="104"/>
        <v>Qualcomm</v>
      </c>
      <c r="BG45" s="168" t="str">
        <f t="shared" ref="BG45:BH45" si="106">BG5</f>
        <v>Inferion Technologies</v>
      </c>
      <c r="BH45" s="168" t="str">
        <f t="shared" si="106"/>
        <v>NXP Semiconductors</v>
      </c>
      <c r="BI45" s="77" t="str">
        <f t="shared" si="104"/>
        <v>Cerebras</v>
      </c>
      <c r="BJ45" s="77" t="str">
        <f t="shared" si="104"/>
        <v>Groq</v>
      </c>
      <c r="BK45" s="77" t="str">
        <f t="shared" ref="BK45:BN45" si="107">BK5</f>
        <v>Helsing</v>
      </c>
      <c r="BL45" s="168" t="str">
        <f t="shared" ref="BL45" si="108">BL5</f>
        <v>Grupo Oesía Revenue owns UAV Navigation</v>
      </c>
      <c r="BM45" s="77" t="str">
        <f t="shared" si="107"/>
        <v>Palantir</v>
      </c>
      <c r="BN45" s="77" t="str">
        <f t="shared" si="107"/>
        <v>Anduril</v>
      </c>
      <c r="BO45" s="168" t="str">
        <f t="shared" ref="BO45:BZ45" si="109">BO5</f>
        <v>Rafael Advanced Defense Systems</v>
      </c>
      <c r="BP45" s="168" t="str">
        <f t="shared" si="109"/>
        <v>Saab AB</v>
      </c>
      <c r="BQ45" s="168" t="str">
        <f t="shared" si="109"/>
        <v>BAE systems</v>
      </c>
      <c r="BR45" s="168" t="str">
        <f t="shared" ref="BR45:BW45" si="110">BR5</f>
        <v>Airbus</v>
      </c>
      <c r="BS45" s="168" t="str">
        <f t="shared" si="110"/>
        <v>Leonardo S.p.A.</v>
      </c>
      <c r="BT45" s="168" t="str">
        <f t="shared" si="110"/>
        <v>Thales Group</v>
      </c>
      <c r="BU45" s="168" t="str">
        <f t="shared" si="110"/>
        <v>Rheinmetall AG</v>
      </c>
      <c r="BV45" s="168" t="str">
        <f t="shared" si="110"/>
        <v>MBDA</v>
      </c>
      <c r="BW45" s="168" t="str">
        <f t="shared" si="110"/>
        <v>Rolls-Royce Holdings</v>
      </c>
      <c r="BX45" s="168" t="str">
        <f t="shared" si="109"/>
        <v>Lockheed Martin</v>
      </c>
      <c r="BY45" s="168" t="str">
        <f t="shared" si="109"/>
        <v>Northrop Grumman</v>
      </c>
      <c r="BZ45" s="168" t="str">
        <f t="shared" si="109"/>
        <v>General Dynamics</v>
      </c>
      <c r="CA45" s="77" t="str">
        <f t="shared" ref="CA45:CF45" si="111">CA5</f>
        <v>OpenAI</v>
      </c>
      <c r="CB45" s="77" t="str">
        <f t="shared" si="111"/>
        <v>Anthropic</v>
      </c>
      <c r="CC45" s="77" t="str">
        <f t="shared" si="111"/>
        <v>Mistral</v>
      </c>
      <c r="CD45" s="77" t="str">
        <f t="shared" si="111"/>
        <v>Alphabet</v>
      </c>
      <c r="CE45" s="77" t="str">
        <f t="shared" si="111"/>
        <v>Microsoft</v>
      </c>
      <c r="CF45" s="77" t="str">
        <f t="shared" si="111"/>
        <v>Amazon</v>
      </c>
      <c r="CG45" s="77" t="str">
        <f t="shared" ref="CG45:CQ45" si="112">CG5</f>
        <v>Tesla</v>
      </c>
      <c r="CH45" s="77" t="str">
        <f>CH5</f>
        <v>xAI</v>
      </c>
      <c r="CI45" s="77" t="str">
        <f t="shared" ref="CI45:CJ45" si="113">CI5</f>
        <v>X.com</v>
      </c>
      <c r="CJ45" s="77" t="str">
        <f t="shared" si="113"/>
        <v>SpaceX</v>
      </c>
      <c r="CK45" s="77" t="str">
        <f t="shared" ref="CK45:CL45" si="114">CK5</f>
        <v>Alibaba</v>
      </c>
      <c r="CL45" s="77" t="str">
        <f t="shared" si="114"/>
        <v>DeepSeek</v>
      </c>
      <c r="CM45" s="77" t="str">
        <f t="shared" ref="CM45:CN45" si="115">CM5</f>
        <v>Baido</v>
      </c>
      <c r="CN45" s="77" t="str">
        <f t="shared" si="115"/>
        <v>Tencent</v>
      </c>
      <c r="CO45" s="77" t="str">
        <f t="shared" ref="CO45:CP45" si="116">CO5</f>
        <v>Horizon Robotics</v>
      </c>
      <c r="CP45" s="168" t="str">
        <f t="shared" si="116"/>
        <v>Black Sesame Technologies</v>
      </c>
      <c r="CQ45" s="77" t="str">
        <f t="shared" si="112"/>
        <v>XPENG</v>
      </c>
      <c r="CR45" s="77" t="str">
        <f t="shared" ref="CR45:CS45" si="117">CR5</f>
        <v>BYD</v>
      </c>
      <c r="CS45" s="77" t="str">
        <f t="shared" si="117"/>
        <v>CATL</v>
      </c>
      <c r="CT45" s="77" t="str">
        <f t="shared" ref="CT45" si="118">CT5</f>
        <v>Huawei</v>
      </c>
      <c r="CU45" s="78"/>
    </row>
    <row r="46" spans="2:103" x14ac:dyDescent="0.35">
      <c r="B46" s="21">
        <v>2008</v>
      </c>
      <c r="C46" s="120" t="str">
        <f t="shared" ref="C46:M46" si="119">C6</f>
        <v>growth in #</v>
      </c>
      <c r="D46" s="120"/>
      <c r="E46" s="120" t="str">
        <f t="shared" si="119"/>
        <v>chipsets sold</v>
      </c>
      <c r="F46" s="120" t="str">
        <f t="shared" ref="F46" si="120">F6</f>
        <v>AI chipset</v>
      </c>
      <c r="G46" s="120" t="str">
        <f t="shared" si="119"/>
        <v>chip sales</v>
      </c>
      <c r="H46" s="120"/>
      <c r="I46" s="13" t="str">
        <f t="shared" si="119"/>
        <v>multiplicator</v>
      </c>
      <c r="J46" s="121" t="str">
        <f t="shared" si="119"/>
        <v xml:space="preserve">for one AI </v>
      </c>
      <c r="K46" s="121" t="str">
        <f t="shared" si="119"/>
        <v>exa-FLOPS</v>
      </c>
      <c r="L46" s="121"/>
      <c r="M46" s="121" t="str">
        <f t="shared" si="119"/>
        <v>available for AI</v>
      </c>
      <c r="N46" s="121"/>
      <c r="O46" s="121" t="str">
        <f t="shared" ref="O46" si="121">O6</f>
        <v>multiplicator</v>
      </c>
      <c r="P46" s="142" t="str">
        <f>P6</f>
        <v>for one</v>
      </c>
      <c r="Q46" s="142" t="str">
        <f t="shared" ref="Q46:R46" si="122">Q6</f>
        <v>RAM prod.</v>
      </c>
      <c r="R46" s="142" t="str">
        <f t="shared" si="122"/>
        <v>available for AI</v>
      </c>
      <c r="S46" s="122" t="str">
        <f>S6</f>
        <v>if one is GB RAM</v>
      </c>
      <c r="T46" s="122" t="str">
        <f>T6</f>
        <v>if one is TFLOPS</v>
      </c>
      <c r="U46" s="122" t="str">
        <f t="shared" ref="U46:W46" si="123">U6</f>
        <v>in android</v>
      </c>
      <c r="V46" s="122" t="str">
        <f t="shared" si="123"/>
        <v># of androids</v>
      </c>
      <c r="W46" s="122" t="str">
        <f t="shared" si="123"/>
        <v>of androids</v>
      </c>
      <c r="X46" s="122" t="str">
        <f t="shared" ref="X46" si="124">X6</f>
        <v>in android</v>
      </c>
      <c r="Y46" s="122" t="str">
        <f t="shared" si="95"/>
        <v xml:space="preserve">of humans </v>
      </c>
      <c r="Z46" s="122" t="str">
        <f t="shared" si="95"/>
        <v>production $40k</v>
      </c>
      <c r="AA46" s="122" t="str">
        <f t="shared" si="95"/>
        <v>productivity versus</v>
      </c>
      <c r="AB46" s="122" t="str">
        <f t="shared" ref="AB46:AO46" si="125">AB6</f>
        <v>productivity</v>
      </c>
      <c r="AC46" s="122" t="str">
        <f t="shared" si="125"/>
        <v>productivity</v>
      </c>
      <c r="AD46" s="122" t="str">
        <f t="shared" si="125"/>
        <v>per android</v>
      </c>
      <c r="AE46" s="122" t="str">
        <f t="shared" ref="AE46:AH46" si="126">AE6</f>
        <v xml:space="preserve">growth for </v>
      </c>
      <c r="AF46" s="122" t="str">
        <f t="shared" si="126"/>
        <v>per human</v>
      </c>
      <c r="AG46" s="122" t="str">
        <f t="shared" ref="AG46" si="127">AG6</f>
        <v xml:space="preserve">growth for </v>
      </c>
      <c r="AH46" s="122" t="str">
        <f t="shared" si="126"/>
        <v>creation to</v>
      </c>
      <c r="AI46" s="122" t="str">
        <f t="shared" si="125"/>
        <v>based global GDP</v>
      </c>
      <c r="AJ46" s="122" t="str">
        <f>AJ6</f>
        <v>based global GDP</v>
      </c>
      <c r="AK46" s="122" t="str">
        <f t="shared" si="125"/>
        <v>based global GDP</v>
      </c>
      <c r="AL46" s="122" t="str">
        <f>AL6</f>
        <v>based global GDP</v>
      </c>
      <c r="AM46" s="122"/>
      <c r="AN46" s="122" t="str">
        <f t="shared" si="125"/>
        <v>human+android</v>
      </c>
      <c r="AO46" s="122" t="str">
        <f t="shared" si="125"/>
        <v>growth % in GDP</v>
      </c>
      <c r="AP46" s="122"/>
      <c r="AQ46" s="122" t="str">
        <f t="shared" si="99"/>
        <v>potentially made</v>
      </c>
      <c r="AR46" s="944" t="str">
        <f t="shared" ref="AR46:AW46" si="128">AR6</f>
        <v>turnover</v>
      </c>
      <c r="AS46" s="120" t="str">
        <f t="shared" ref="AS46" si="129">AS6</f>
        <v>turnover</v>
      </c>
      <c r="AT46" s="120" t="str">
        <f t="shared" si="128"/>
        <v>turnover</v>
      </c>
      <c r="AU46" s="120" t="str">
        <f t="shared" ref="AU46:AV46" si="130">AU6</f>
        <v>turnover</v>
      </c>
      <c r="AV46" s="120" t="str">
        <f t="shared" si="130"/>
        <v>turnover</v>
      </c>
      <c r="AW46" s="120" t="str">
        <f t="shared" si="128"/>
        <v>turnover</v>
      </c>
      <c r="AX46" s="120"/>
      <c r="AY46" s="120"/>
      <c r="AZ46" s="120" t="str">
        <f t="shared" ref="AZ46:BC46" si="131">AZ6</f>
        <v>turnover</v>
      </c>
      <c r="BA46" s="120" t="str">
        <f t="shared" si="131"/>
        <v>turnover</v>
      </c>
      <c r="BB46" s="120" t="str">
        <f t="shared" ref="BB46" si="132">BB6</f>
        <v>turnover</v>
      </c>
      <c r="BC46" s="120" t="str">
        <f t="shared" si="131"/>
        <v>turnover</v>
      </c>
      <c r="BD46" s="120" t="str">
        <f t="shared" ref="BD46:BI46" si="133">BD6</f>
        <v>Technology</v>
      </c>
      <c r="BE46" s="120" t="str">
        <f t="shared" si="133"/>
        <v>turnover</v>
      </c>
      <c r="BF46" s="120" t="str">
        <f t="shared" si="133"/>
        <v>turnover</v>
      </c>
      <c r="BG46" s="120" t="str">
        <f t="shared" ref="BG46:BH46" si="134">BG6</f>
        <v>turnover</v>
      </c>
      <c r="BH46" s="120" t="str">
        <f t="shared" si="134"/>
        <v>turnover</v>
      </c>
      <c r="BI46" s="120" t="str">
        <f t="shared" si="133"/>
        <v>start-up</v>
      </c>
      <c r="BJ46" s="120" t="str">
        <f t="shared" ref="BJ46:CQ46" si="135">BJ6</f>
        <v>start-up</v>
      </c>
      <c r="BK46" s="120" t="str">
        <f t="shared" ref="BK46:BL46" si="136">BK6</f>
        <v>start-up</v>
      </c>
      <c r="BL46" s="120" t="str">
        <f t="shared" si="136"/>
        <v>turnover</v>
      </c>
      <c r="BM46" s="120" t="str">
        <f t="shared" ref="BM46:CF46" si="137">BM6</f>
        <v>turnover</v>
      </c>
      <c r="BN46" s="120" t="str">
        <f t="shared" si="137"/>
        <v>turnover</v>
      </c>
      <c r="BO46" s="120" t="str">
        <f t="shared" ref="BO46:BZ46" si="138">BO6</f>
        <v>turnover</v>
      </c>
      <c r="BP46" s="120" t="str">
        <f t="shared" si="138"/>
        <v>turnover</v>
      </c>
      <c r="BQ46" s="120" t="str">
        <f t="shared" si="138"/>
        <v>turnover</v>
      </c>
      <c r="BR46" s="120" t="str">
        <f t="shared" ref="BR46:BW46" si="139">BR6</f>
        <v>turnover</v>
      </c>
      <c r="BS46" s="120" t="str">
        <f t="shared" si="139"/>
        <v>turnover</v>
      </c>
      <c r="BT46" s="120" t="str">
        <f t="shared" si="139"/>
        <v>turnover</v>
      </c>
      <c r="BU46" s="120" t="str">
        <f t="shared" si="139"/>
        <v>turnover</v>
      </c>
      <c r="BV46" s="120" t="str">
        <f t="shared" si="139"/>
        <v>turnover</v>
      </c>
      <c r="BW46" s="120" t="str">
        <f t="shared" si="139"/>
        <v>turnover</v>
      </c>
      <c r="BX46" s="120" t="str">
        <f t="shared" si="138"/>
        <v>turnover</v>
      </c>
      <c r="BY46" s="120" t="str">
        <f t="shared" si="138"/>
        <v>turnover</v>
      </c>
      <c r="BZ46" s="120" t="str">
        <f t="shared" si="138"/>
        <v>turnover</v>
      </c>
      <c r="CA46" s="120" t="str">
        <f t="shared" si="137"/>
        <v>turnover</v>
      </c>
      <c r="CB46" s="120" t="str">
        <f t="shared" si="137"/>
        <v>turnover</v>
      </c>
      <c r="CC46" s="120" t="str">
        <f t="shared" si="137"/>
        <v>turnover</v>
      </c>
      <c r="CD46" s="120" t="str">
        <f t="shared" si="137"/>
        <v>turnover</v>
      </c>
      <c r="CE46" s="120" t="str">
        <f t="shared" si="137"/>
        <v>turnover</v>
      </c>
      <c r="CF46" s="120" t="str">
        <f t="shared" si="137"/>
        <v>turnover</v>
      </c>
      <c r="CG46" s="120" t="str">
        <f t="shared" si="135"/>
        <v>turnover</v>
      </c>
      <c r="CH46" s="120" t="str">
        <f>CH6</f>
        <v>turnover</v>
      </c>
      <c r="CI46" s="120" t="str">
        <f t="shared" ref="CI46:CJ46" si="140">CI6</f>
        <v>turnover</v>
      </c>
      <c r="CJ46" s="120" t="str">
        <f t="shared" si="140"/>
        <v>turnover</v>
      </c>
      <c r="CK46" s="120" t="str">
        <f t="shared" ref="CK46:CL46" si="141">CK6</f>
        <v>turnover</v>
      </c>
      <c r="CL46" s="120" t="str">
        <f t="shared" si="141"/>
        <v>turnover</v>
      </c>
      <c r="CM46" s="120" t="str">
        <f t="shared" ref="CM46:CN46" si="142">CM6</f>
        <v>turnover</v>
      </c>
      <c r="CN46" s="120" t="str">
        <f t="shared" si="142"/>
        <v>turnover</v>
      </c>
      <c r="CO46" s="120" t="str">
        <f t="shared" ref="CO46:CP46" si="143">CO6</f>
        <v>turnover</v>
      </c>
      <c r="CP46" s="120" t="str">
        <f t="shared" si="143"/>
        <v>turnover</v>
      </c>
      <c r="CQ46" s="120" t="str">
        <f t="shared" si="135"/>
        <v>turnover</v>
      </c>
      <c r="CR46" s="120" t="str">
        <f t="shared" ref="CR46:CS46" si="144">CR6</f>
        <v>turnover</v>
      </c>
      <c r="CS46" s="120" t="str">
        <f t="shared" si="144"/>
        <v>turnover</v>
      </c>
      <c r="CT46" s="120" t="str">
        <f t="shared" ref="CT46" si="145">CT6</f>
        <v>turnover</v>
      </c>
      <c r="CU46" s="334"/>
    </row>
    <row r="47" spans="2:103" ht="15" thickBot="1" x14ac:dyDescent="0.4">
      <c r="B47" s="21">
        <v>2022</v>
      </c>
      <c r="C47" s="120" t="str">
        <f t="shared" ref="C47:J47" si="146">C7</f>
        <v>of AI chipset</v>
      </c>
      <c r="D47" s="120"/>
      <c r="E47" s="120" t="str">
        <f t="shared" si="146"/>
        <v>globally</v>
      </c>
      <c r="F47" s="120" t="str">
        <f t="shared" ref="F47" si="147">F7</f>
        <v>USD</v>
      </c>
      <c r="G47" s="120" t="str">
        <f t="shared" si="146"/>
        <v>billion USD</v>
      </c>
      <c r="H47" s="120"/>
      <c r="I47" s="13" t="str">
        <f t="shared" si="146"/>
        <v>for compute</v>
      </c>
      <c r="J47" s="122" t="str">
        <f t="shared" si="146"/>
        <v>chipset</v>
      </c>
      <c r="K47" s="122"/>
      <c r="L47" s="122"/>
      <c r="M47" s="305" t="s">
        <v>890</v>
      </c>
      <c r="N47" s="305"/>
      <c r="O47" s="122" t="str">
        <f t="shared" ref="O47" si="148">O7</f>
        <v>for RAM mem.</v>
      </c>
      <c r="P47" s="144" t="str">
        <f>P7</f>
        <v>AI chipset</v>
      </c>
      <c r="Q47" s="125" t="str">
        <f t="shared" ref="Q47:R47" si="149">Q7</f>
        <v>for AI use</v>
      </c>
      <c r="R47" s="144" t="str">
        <f t="shared" si="149"/>
        <v>6 years rolling</v>
      </c>
      <c r="S47" s="125">
        <f t="shared" ref="S47" si="150">S7</f>
        <v>40192</v>
      </c>
      <c r="T47" s="125">
        <f>T7</f>
        <v>12900</v>
      </c>
      <c r="U47" s="122" t="str">
        <f t="shared" ref="U47:W47" si="151">U7</f>
        <v>production</v>
      </c>
      <c r="V47" s="122" t="str">
        <f t="shared" si="151"/>
        <v>made per year</v>
      </c>
      <c r="W47" s="122" t="str">
        <f t="shared" si="151"/>
        <v>6 year rolling</v>
      </c>
      <c r="X47" s="122" t="str">
        <f t="shared" ref="X47" si="152">X7</f>
        <v>labor force</v>
      </c>
      <c r="Y47" s="122" t="str">
        <f t="shared" si="95"/>
        <v>growth 0.83%</v>
      </c>
      <c r="Z47" s="122" t="str">
        <f t="shared" si="95"/>
        <v>each billion USD</v>
      </c>
      <c r="AA47" s="122" t="str">
        <f t="shared" si="95"/>
        <v>human productivity</v>
      </c>
      <c r="AB47" s="122" t="str">
        <f t="shared" ref="AB47:AO47" si="153">AB7</f>
        <v>USD/hour</v>
      </c>
      <c r="AC47" s="122" t="str">
        <f t="shared" si="153"/>
        <v>USD/hour</v>
      </c>
      <c r="AD47" s="122" t="str">
        <f t="shared" si="153"/>
        <v>per year USD</v>
      </c>
      <c r="AE47" s="122" t="str">
        <f t="shared" ref="AE47:AH47" si="154">AE7</f>
        <v>androids in %</v>
      </c>
      <c r="AF47" s="122" t="str">
        <f t="shared" si="154"/>
        <v>per year USD</v>
      </c>
      <c r="AG47" s="122" t="str">
        <f t="shared" ref="AG47" si="155">AG7</f>
        <v>humans in %</v>
      </c>
      <c r="AH47" s="122" t="str">
        <f t="shared" si="154"/>
        <v>human GDP</v>
      </c>
      <c r="AI47" s="122" t="str">
        <f t="shared" si="153"/>
        <v>Billion USD</v>
      </c>
      <c r="AJ47" s="122" t="str">
        <f>AJ7</f>
        <v>growth in %</v>
      </c>
      <c r="AK47" s="122" t="str">
        <f t="shared" si="153"/>
        <v>Billion USD</v>
      </c>
      <c r="AL47" s="122" t="str">
        <f>AL7</f>
        <v>growth in %</v>
      </c>
      <c r="AM47" s="122"/>
      <c r="AN47" s="122" t="str">
        <f t="shared" si="153"/>
        <v>Billion USD</v>
      </c>
      <c r="AO47" s="122" t="str">
        <f t="shared" si="153"/>
        <v>human+android</v>
      </c>
      <c r="AP47" s="122"/>
      <c r="AQ47" s="122" t="str">
        <f t="shared" si="99"/>
        <v>by AGI androids</v>
      </c>
      <c r="AR47" s="944" t="str">
        <f t="shared" ref="AR47:BC47" si="156">AR7</f>
        <v>billion USD</v>
      </c>
      <c r="AS47" s="120" t="str">
        <f t="shared" ref="AS47" si="157">AS7</f>
        <v>billion USD</v>
      </c>
      <c r="AT47" s="120" t="str">
        <f t="shared" si="156"/>
        <v>billion USD</v>
      </c>
      <c r="AU47" s="120" t="str">
        <f t="shared" ref="AU47:AV47" si="158">AU7</f>
        <v>billion USD</v>
      </c>
      <c r="AV47" s="120" t="str">
        <f t="shared" si="158"/>
        <v>billion USD</v>
      </c>
      <c r="AW47" s="120" t="str">
        <f>AW7</f>
        <v>billion USD</v>
      </c>
      <c r="AX47" s="120"/>
      <c r="AY47" s="120"/>
      <c r="AZ47" s="120" t="str">
        <f t="shared" si="156"/>
        <v>billion USD</v>
      </c>
      <c r="BA47" s="120" t="str">
        <f t="shared" si="156"/>
        <v>billion USD</v>
      </c>
      <c r="BB47" s="120" t="str">
        <f t="shared" ref="BB47" si="159">BB7</f>
        <v>billion USD</v>
      </c>
      <c r="BC47" s="120" t="str">
        <f t="shared" si="156"/>
        <v>billion USD</v>
      </c>
      <c r="BD47" s="120" t="str">
        <f t="shared" ref="BD47:BI47" si="160">BD7</f>
        <v>billion USD</v>
      </c>
      <c r="BE47" s="120" t="str">
        <f t="shared" si="160"/>
        <v>billion USD</v>
      </c>
      <c r="BF47" s="120" t="str">
        <f t="shared" si="160"/>
        <v>billion USD</v>
      </c>
      <c r="BG47" s="120" t="str">
        <f t="shared" ref="BG47:BH47" si="161">BG7</f>
        <v>billion USD</v>
      </c>
      <c r="BH47" s="120" t="str">
        <f t="shared" si="161"/>
        <v>billion USD</v>
      </c>
      <c r="BI47" s="120" t="str">
        <f t="shared" si="160"/>
        <v>billion USD</v>
      </c>
      <c r="BJ47" s="120" t="str">
        <f t="shared" ref="BJ47:CQ47" si="162">BJ7</f>
        <v>billion USD</v>
      </c>
      <c r="BK47" s="120" t="str">
        <f t="shared" ref="BK47:BN47" si="163">BK7</f>
        <v>billion USD</v>
      </c>
      <c r="BL47" s="120" t="str">
        <f t="shared" ref="BL47" si="164">BL7</f>
        <v>billion USD</v>
      </c>
      <c r="BM47" s="120" t="str">
        <f t="shared" si="163"/>
        <v>billion USD</v>
      </c>
      <c r="BN47" s="120" t="str">
        <f t="shared" si="163"/>
        <v>billion USD</v>
      </c>
      <c r="BO47" s="120" t="str">
        <f t="shared" ref="BO47:BZ47" si="165">BO7</f>
        <v>billion USD</v>
      </c>
      <c r="BP47" s="120" t="str">
        <f t="shared" si="165"/>
        <v>billion USD</v>
      </c>
      <c r="BQ47" s="120" t="str">
        <f t="shared" si="165"/>
        <v>billion USD</v>
      </c>
      <c r="BR47" s="120" t="str">
        <f t="shared" ref="BR47:BW47" si="166">BR7</f>
        <v>billion USD</v>
      </c>
      <c r="BS47" s="120" t="str">
        <f t="shared" si="166"/>
        <v>billion USD</v>
      </c>
      <c r="BT47" s="120" t="str">
        <f t="shared" si="166"/>
        <v>billion USD</v>
      </c>
      <c r="BU47" s="120" t="str">
        <f t="shared" si="166"/>
        <v>billion USD</v>
      </c>
      <c r="BV47" s="120" t="str">
        <f t="shared" si="166"/>
        <v>billion USD</v>
      </c>
      <c r="BW47" s="120" t="str">
        <f t="shared" si="166"/>
        <v>billion USD</v>
      </c>
      <c r="BX47" s="120" t="str">
        <f t="shared" si="165"/>
        <v>billion USD</v>
      </c>
      <c r="BY47" s="120" t="str">
        <f t="shared" si="165"/>
        <v>billion USD</v>
      </c>
      <c r="BZ47" s="120" t="str">
        <f t="shared" si="165"/>
        <v>billion USD</v>
      </c>
      <c r="CA47" s="120" t="str">
        <f t="shared" ref="CA47:CF47" si="167">CA7</f>
        <v>billion USD</v>
      </c>
      <c r="CB47" s="120" t="str">
        <f t="shared" si="167"/>
        <v>billion USD</v>
      </c>
      <c r="CC47" s="120" t="str">
        <f t="shared" si="167"/>
        <v>billion USD</v>
      </c>
      <c r="CD47" s="120" t="str">
        <f t="shared" si="167"/>
        <v>billion USD</v>
      </c>
      <c r="CE47" s="120" t="str">
        <f t="shared" si="167"/>
        <v>billion USD</v>
      </c>
      <c r="CF47" s="120" t="str">
        <f t="shared" si="167"/>
        <v>billion USD</v>
      </c>
      <c r="CG47" s="120" t="str">
        <f t="shared" si="162"/>
        <v>billion USD</v>
      </c>
      <c r="CH47" s="120" t="str">
        <f>CH7</f>
        <v>billion USD</v>
      </c>
      <c r="CI47" s="120" t="str">
        <f t="shared" ref="CI47:CJ47" si="168">CI7</f>
        <v>billion USD</v>
      </c>
      <c r="CJ47" s="120" t="str">
        <f t="shared" si="168"/>
        <v>billion USD</v>
      </c>
      <c r="CK47" s="120" t="str">
        <f t="shared" ref="CK47:CL47" si="169">CK7</f>
        <v>billion USD</v>
      </c>
      <c r="CL47" s="120" t="str">
        <f t="shared" si="169"/>
        <v>billion USD</v>
      </c>
      <c r="CM47" s="120" t="str">
        <f t="shared" ref="CM47:CN47" si="170">CM7</f>
        <v>billion USD</v>
      </c>
      <c r="CN47" s="120" t="str">
        <f t="shared" si="170"/>
        <v>billion USD</v>
      </c>
      <c r="CO47" s="120" t="str">
        <f t="shared" ref="CO47:CP47" si="171">CO7</f>
        <v>billion USD</v>
      </c>
      <c r="CP47" s="120" t="str">
        <f t="shared" si="171"/>
        <v>billion USD</v>
      </c>
      <c r="CQ47" s="120" t="str">
        <f t="shared" si="162"/>
        <v>billion USD</v>
      </c>
      <c r="CR47" s="120" t="str">
        <f t="shared" ref="CR47:CS47" si="172">CR7</f>
        <v>billion USD</v>
      </c>
      <c r="CS47" s="120" t="str">
        <f t="shared" si="172"/>
        <v>billion USD</v>
      </c>
      <c r="CT47" s="120" t="str">
        <f t="shared" ref="CT47" si="173">CT7</f>
        <v>billion USD</v>
      </c>
      <c r="CU47" s="334"/>
    </row>
    <row r="48" spans="2:103" ht="15" thickTop="1" x14ac:dyDescent="0.35">
      <c r="B48" s="306" t="str">
        <f>B8</f>
        <v>Growth 2023 to 2029</v>
      </c>
      <c r="C48" s="309"/>
      <c r="D48" s="309"/>
      <c r="E48" s="310" t="s">
        <v>135</v>
      </c>
      <c r="F48" s="310" t="s">
        <v>135</v>
      </c>
      <c r="G48" s="310" t="s">
        <v>135</v>
      </c>
      <c r="H48" s="310"/>
      <c r="I48" s="308" t="s">
        <v>45</v>
      </c>
      <c r="J48" s="310" t="s">
        <v>135</v>
      </c>
      <c r="K48" s="310" t="s">
        <v>135</v>
      </c>
      <c r="L48" s="310"/>
      <c r="M48" s="310" t="s">
        <v>135</v>
      </c>
      <c r="N48" s="310"/>
      <c r="O48" s="308" t="s">
        <v>45</v>
      </c>
      <c r="P48" s="310" t="s">
        <v>135</v>
      </c>
      <c r="Q48" s="310" t="s">
        <v>135</v>
      </c>
      <c r="R48" s="310" t="s">
        <v>135</v>
      </c>
      <c r="S48" s="310" t="s">
        <v>135</v>
      </c>
      <c r="T48" s="310" t="s">
        <v>135</v>
      </c>
      <c r="U48" s="310" t="s">
        <v>135</v>
      </c>
      <c r="V48" s="310" t="s">
        <v>135</v>
      </c>
      <c r="W48" s="310" t="s">
        <v>135</v>
      </c>
      <c r="X48" s="310" t="s">
        <v>135</v>
      </c>
      <c r="Y48" s="310" t="s">
        <v>135</v>
      </c>
      <c r="Z48" s="310" t="s">
        <v>135</v>
      </c>
      <c r="AA48" s="310" t="s">
        <v>135</v>
      </c>
      <c r="AB48" s="310" t="s">
        <v>135</v>
      </c>
      <c r="AC48" s="310" t="s">
        <v>135</v>
      </c>
      <c r="AD48" s="310" t="s">
        <v>135</v>
      </c>
      <c r="AE48" s="310" t="s">
        <v>135</v>
      </c>
      <c r="AF48" s="310" t="s">
        <v>135</v>
      </c>
      <c r="AG48" s="310" t="s">
        <v>135</v>
      </c>
      <c r="AH48" s="310" t="s">
        <v>135</v>
      </c>
      <c r="AI48" s="310" t="s">
        <v>135</v>
      </c>
      <c r="AJ48" s="364" t="s">
        <v>45</v>
      </c>
      <c r="AK48" s="310" t="s">
        <v>135</v>
      </c>
      <c r="AL48" s="364" t="s">
        <v>45</v>
      </c>
      <c r="AM48" s="364"/>
      <c r="AN48" s="310" t="s">
        <v>135</v>
      </c>
      <c r="AO48" s="364" t="s">
        <v>45</v>
      </c>
      <c r="AP48" s="364"/>
      <c r="AQ48" s="929" t="s">
        <v>45</v>
      </c>
      <c r="AR48" s="951" t="s">
        <v>45</v>
      </c>
      <c r="AS48" s="308" t="s">
        <v>45</v>
      </c>
      <c r="AT48" s="308" t="s">
        <v>45</v>
      </c>
      <c r="AU48" s="308" t="s">
        <v>45</v>
      </c>
      <c r="AV48" s="308" t="s">
        <v>45</v>
      </c>
      <c r="AW48" s="308" t="s">
        <v>45</v>
      </c>
      <c r="AX48" s="308"/>
      <c r="AY48" s="308"/>
      <c r="AZ48" s="308" t="s">
        <v>45</v>
      </c>
      <c r="BA48" s="308" t="s">
        <v>45</v>
      </c>
      <c r="BB48" s="308" t="s">
        <v>45</v>
      </c>
      <c r="BC48" s="308" t="s">
        <v>45</v>
      </c>
      <c r="BD48" s="308" t="s">
        <v>45</v>
      </c>
      <c r="BE48" s="308" t="s">
        <v>45</v>
      </c>
      <c r="BF48" s="308" t="s">
        <v>45</v>
      </c>
      <c r="BG48" s="308" t="s">
        <v>45</v>
      </c>
      <c r="BH48" s="308" t="s">
        <v>45</v>
      </c>
      <c r="BI48" s="308" t="s">
        <v>45</v>
      </c>
      <c r="BJ48" s="308" t="s">
        <v>45</v>
      </c>
      <c r="BK48" s="308" t="s">
        <v>45</v>
      </c>
      <c r="BL48" s="308" t="s">
        <v>45</v>
      </c>
      <c r="BM48" s="308" t="s">
        <v>45</v>
      </c>
      <c r="BN48" s="308" t="s">
        <v>45</v>
      </c>
      <c r="BO48" s="308" t="s">
        <v>45</v>
      </c>
      <c r="BP48" s="308" t="s">
        <v>45</v>
      </c>
      <c r="BQ48" s="308" t="s">
        <v>45</v>
      </c>
      <c r="BR48" s="308" t="s">
        <v>45</v>
      </c>
      <c r="BS48" s="308" t="s">
        <v>45</v>
      </c>
      <c r="BT48" s="308" t="s">
        <v>45</v>
      </c>
      <c r="BU48" s="308" t="s">
        <v>45</v>
      </c>
      <c r="BV48" s="308" t="s">
        <v>45</v>
      </c>
      <c r="BW48" s="308" t="s">
        <v>45</v>
      </c>
      <c r="BX48" s="308" t="s">
        <v>45</v>
      </c>
      <c r="BY48" s="308" t="s">
        <v>45</v>
      </c>
      <c r="BZ48" s="308" t="s">
        <v>45</v>
      </c>
      <c r="CA48" s="308" t="s">
        <v>45</v>
      </c>
      <c r="CB48" s="308" t="s">
        <v>45</v>
      </c>
      <c r="CC48" s="308" t="s">
        <v>45</v>
      </c>
      <c r="CD48" s="308" t="s">
        <v>45</v>
      </c>
      <c r="CE48" s="308" t="s">
        <v>45</v>
      </c>
      <c r="CF48" s="308" t="s">
        <v>45</v>
      </c>
      <c r="CG48" s="308" t="s">
        <v>45</v>
      </c>
      <c r="CH48" s="308" t="s">
        <v>45</v>
      </c>
      <c r="CI48" s="308" t="s">
        <v>45</v>
      </c>
      <c r="CJ48" s="308" t="s">
        <v>45</v>
      </c>
      <c r="CK48" s="308" t="s">
        <v>45</v>
      </c>
      <c r="CL48" s="308" t="s">
        <v>45</v>
      </c>
      <c r="CM48" s="308" t="s">
        <v>45</v>
      </c>
      <c r="CN48" s="308" t="s">
        <v>45</v>
      </c>
      <c r="CO48" s="308" t="s">
        <v>45</v>
      </c>
      <c r="CP48" s="308" t="s">
        <v>45</v>
      </c>
      <c r="CQ48" s="308" t="s">
        <v>45</v>
      </c>
      <c r="CR48" s="308" t="s">
        <v>45</v>
      </c>
      <c r="CS48" s="308" t="s">
        <v>45</v>
      </c>
      <c r="CT48" s="308" t="s">
        <v>45</v>
      </c>
      <c r="CU48" s="933"/>
    </row>
    <row r="49" spans="2:115" x14ac:dyDescent="0.35">
      <c r="B49" s="302" t="str">
        <f>B9</f>
        <v>Growth 2029 to 2045</v>
      </c>
      <c r="C49" s="312"/>
      <c r="D49" s="312"/>
      <c r="E49" s="336" t="s">
        <v>135</v>
      </c>
      <c r="F49" s="336" t="s">
        <v>135</v>
      </c>
      <c r="G49" s="336" t="s">
        <v>135</v>
      </c>
      <c r="H49" s="336"/>
      <c r="I49" s="315" t="s">
        <v>45</v>
      </c>
      <c r="J49" s="336" t="s">
        <v>135</v>
      </c>
      <c r="K49" s="336" t="s">
        <v>135</v>
      </c>
      <c r="L49" s="336"/>
      <c r="M49" s="336" t="s">
        <v>135</v>
      </c>
      <c r="N49" s="336"/>
      <c r="O49" s="315" t="s">
        <v>45</v>
      </c>
      <c r="P49" s="336" t="s">
        <v>135</v>
      </c>
      <c r="Q49" s="336" t="s">
        <v>135</v>
      </c>
      <c r="R49" s="336" t="s">
        <v>135</v>
      </c>
      <c r="S49" s="336" t="s">
        <v>135</v>
      </c>
      <c r="T49" s="336" t="s">
        <v>135</v>
      </c>
      <c r="U49" s="336" t="s">
        <v>135</v>
      </c>
      <c r="V49" s="336" t="s">
        <v>135</v>
      </c>
      <c r="W49" s="336" t="s">
        <v>135</v>
      </c>
      <c r="X49" s="336" t="s">
        <v>135</v>
      </c>
      <c r="Y49" s="336" t="s">
        <v>135</v>
      </c>
      <c r="Z49" s="336" t="s">
        <v>135</v>
      </c>
      <c r="AA49" s="336" t="s">
        <v>135</v>
      </c>
      <c r="AB49" s="336" t="s">
        <v>135</v>
      </c>
      <c r="AC49" s="336" t="s">
        <v>135</v>
      </c>
      <c r="AD49" s="336" t="s">
        <v>135</v>
      </c>
      <c r="AE49" s="336" t="s">
        <v>135</v>
      </c>
      <c r="AF49" s="336" t="s">
        <v>135</v>
      </c>
      <c r="AG49" s="336" t="s">
        <v>135</v>
      </c>
      <c r="AH49" s="336" t="s">
        <v>135</v>
      </c>
      <c r="AI49" s="336" t="s">
        <v>135</v>
      </c>
      <c r="AJ49" s="363" t="s">
        <v>45</v>
      </c>
      <c r="AK49" s="336" t="s">
        <v>135</v>
      </c>
      <c r="AL49" s="363" t="s">
        <v>45</v>
      </c>
      <c r="AM49" s="363"/>
      <c r="AN49" s="336" t="s">
        <v>135</v>
      </c>
      <c r="AO49" s="363" t="s">
        <v>45</v>
      </c>
      <c r="AP49" s="363"/>
      <c r="AQ49" s="363" t="s">
        <v>45</v>
      </c>
      <c r="AR49" s="952" t="s">
        <v>45</v>
      </c>
      <c r="AS49" s="315" t="s">
        <v>45</v>
      </c>
      <c r="AT49" s="315" t="s">
        <v>45</v>
      </c>
      <c r="AU49" s="315" t="s">
        <v>45</v>
      </c>
      <c r="AV49" s="315" t="s">
        <v>45</v>
      </c>
      <c r="AW49" s="315" t="s">
        <v>45</v>
      </c>
      <c r="AX49" s="315"/>
      <c r="AY49" s="315"/>
      <c r="AZ49" s="315" t="s">
        <v>45</v>
      </c>
      <c r="BA49" s="315" t="s">
        <v>45</v>
      </c>
      <c r="BB49" s="315" t="s">
        <v>45</v>
      </c>
      <c r="BC49" s="315" t="s">
        <v>45</v>
      </c>
      <c r="BD49" s="315" t="s">
        <v>45</v>
      </c>
      <c r="BE49" s="315" t="s">
        <v>45</v>
      </c>
      <c r="BF49" s="315" t="s">
        <v>45</v>
      </c>
      <c r="BG49" s="315" t="s">
        <v>45</v>
      </c>
      <c r="BH49" s="315" t="s">
        <v>45</v>
      </c>
      <c r="BI49" s="315" t="s">
        <v>45</v>
      </c>
      <c r="BJ49" s="315" t="s">
        <v>45</v>
      </c>
      <c r="BK49" s="315" t="s">
        <v>45</v>
      </c>
      <c r="BL49" s="315" t="s">
        <v>45</v>
      </c>
      <c r="BM49" s="315" t="s">
        <v>45</v>
      </c>
      <c r="BN49" s="315" t="s">
        <v>45</v>
      </c>
      <c r="BO49" s="315" t="s">
        <v>45</v>
      </c>
      <c r="BP49" s="315" t="s">
        <v>45</v>
      </c>
      <c r="BQ49" s="315" t="s">
        <v>45</v>
      </c>
      <c r="BR49" s="315" t="s">
        <v>45</v>
      </c>
      <c r="BS49" s="315" t="s">
        <v>45</v>
      </c>
      <c r="BT49" s="315" t="s">
        <v>45</v>
      </c>
      <c r="BU49" s="315" t="s">
        <v>45</v>
      </c>
      <c r="BV49" s="315" t="s">
        <v>45</v>
      </c>
      <c r="BW49" s="315" t="s">
        <v>45</v>
      </c>
      <c r="BX49" s="315" t="s">
        <v>45</v>
      </c>
      <c r="BY49" s="315" t="s">
        <v>45</v>
      </c>
      <c r="BZ49" s="315" t="s">
        <v>45</v>
      </c>
      <c r="CA49" s="315" t="s">
        <v>45</v>
      </c>
      <c r="CB49" s="315" t="s">
        <v>45</v>
      </c>
      <c r="CC49" s="315" t="s">
        <v>45</v>
      </c>
      <c r="CD49" s="315" t="s">
        <v>45</v>
      </c>
      <c r="CE49" s="315" t="s">
        <v>45</v>
      </c>
      <c r="CF49" s="315" t="s">
        <v>45</v>
      </c>
      <c r="CG49" s="315" t="s">
        <v>45</v>
      </c>
      <c r="CH49" s="315" t="s">
        <v>45</v>
      </c>
      <c r="CI49" s="315" t="s">
        <v>45</v>
      </c>
      <c r="CJ49" s="315" t="s">
        <v>45</v>
      </c>
      <c r="CK49" s="315" t="s">
        <v>45</v>
      </c>
      <c r="CL49" s="315" t="s">
        <v>45</v>
      </c>
      <c r="CM49" s="315" t="s">
        <v>45</v>
      </c>
      <c r="CN49" s="315" t="s">
        <v>45</v>
      </c>
      <c r="CO49" s="315" t="s">
        <v>45</v>
      </c>
      <c r="CP49" s="315" t="s">
        <v>45</v>
      </c>
      <c r="CQ49" s="315" t="s">
        <v>45</v>
      </c>
      <c r="CR49" s="315" t="s">
        <v>45</v>
      </c>
      <c r="CS49" s="315" t="s">
        <v>45</v>
      </c>
      <c r="CT49" s="315" t="s">
        <v>45</v>
      </c>
      <c r="CU49" s="303"/>
      <c r="CV49" s="39" t="s">
        <v>211</v>
      </c>
      <c r="CW49" s="37"/>
    </row>
    <row r="50" spans="2:115" ht="15" thickBot="1" x14ac:dyDescent="0.4">
      <c r="B50" s="66" t="str">
        <f>B10</f>
        <v>Growth 2023 to 2045</v>
      </c>
      <c r="C50" s="80"/>
      <c r="D50" s="80"/>
      <c r="E50" s="304" t="s">
        <v>135</v>
      </c>
      <c r="F50" s="304" t="s">
        <v>135</v>
      </c>
      <c r="G50" s="304" t="s">
        <v>135</v>
      </c>
      <c r="H50" s="304"/>
      <c r="I50" s="249" t="s">
        <v>45</v>
      </c>
      <c r="J50" s="304" t="s">
        <v>135</v>
      </c>
      <c r="K50" s="304" t="s">
        <v>135</v>
      </c>
      <c r="L50" s="304"/>
      <c r="M50" s="304" t="s">
        <v>135</v>
      </c>
      <c r="N50" s="304"/>
      <c r="O50" s="249" t="s">
        <v>45</v>
      </c>
      <c r="P50" s="304" t="s">
        <v>135</v>
      </c>
      <c r="Q50" s="304" t="s">
        <v>135</v>
      </c>
      <c r="R50" s="304" t="s">
        <v>135</v>
      </c>
      <c r="S50" s="304" t="s">
        <v>135</v>
      </c>
      <c r="T50" s="304" t="s">
        <v>135</v>
      </c>
      <c r="U50" s="304" t="s">
        <v>135</v>
      </c>
      <c r="V50" s="304" t="s">
        <v>135</v>
      </c>
      <c r="W50" s="304" t="s">
        <v>135</v>
      </c>
      <c r="X50" s="304" t="s">
        <v>135</v>
      </c>
      <c r="Y50" s="304" t="s">
        <v>135</v>
      </c>
      <c r="Z50" s="304" t="s">
        <v>135</v>
      </c>
      <c r="AA50" s="304" t="s">
        <v>135</v>
      </c>
      <c r="AB50" s="304" t="s">
        <v>135</v>
      </c>
      <c r="AC50" s="304" t="s">
        <v>135</v>
      </c>
      <c r="AD50" s="304" t="s">
        <v>135</v>
      </c>
      <c r="AE50" s="304" t="s">
        <v>135</v>
      </c>
      <c r="AF50" s="304" t="s">
        <v>135</v>
      </c>
      <c r="AG50" s="304" t="s">
        <v>135</v>
      </c>
      <c r="AH50" s="304" t="s">
        <v>135</v>
      </c>
      <c r="AI50" s="304" t="s">
        <v>135</v>
      </c>
      <c r="AJ50" s="252" t="s">
        <v>45</v>
      </c>
      <c r="AK50" s="304" t="s">
        <v>135</v>
      </c>
      <c r="AL50" s="252" t="s">
        <v>45</v>
      </c>
      <c r="AM50" s="252"/>
      <c r="AN50" s="304" t="s">
        <v>135</v>
      </c>
      <c r="AO50" s="252" t="s">
        <v>45</v>
      </c>
      <c r="AP50" s="252"/>
      <c r="AQ50" s="930" t="s">
        <v>45</v>
      </c>
      <c r="AR50" s="953" t="s">
        <v>45</v>
      </c>
      <c r="AS50" s="249" t="s">
        <v>45</v>
      </c>
      <c r="AT50" s="249" t="s">
        <v>45</v>
      </c>
      <c r="AU50" s="249" t="s">
        <v>45</v>
      </c>
      <c r="AV50" s="249" t="s">
        <v>45</v>
      </c>
      <c r="AW50" s="249" t="s">
        <v>45</v>
      </c>
      <c r="AX50" s="249"/>
      <c r="AY50" s="249"/>
      <c r="AZ50" s="249" t="s">
        <v>45</v>
      </c>
      <c r="BA50" s="249" t="s">
        <v>45</v>
      </c>
      <c r="BB50" s="249" t="s">
        <v>45</v>
      </c>
      <c r="BC50" s="249" t="s">
        <v>45</v>
      </c>
      <c r="BD50" s="249" t="s">
        <v>45</v>
      </c>
      <c r="BE50" s="249" t="s">
        <v>45</v>
      </c>
      <c r="BF50" s="249" t="s">
        <v>45</v>
      </c>
      <c r="BG50" s="249" t="s">
        <v>45</v>
      </c>
      <c r="BH50" s="249" t="s">
        <v>45</v>
      </c>
      <c r="BI50" s="249" t="s">
        <v>45</v>
      </c>
      <c r="BJ50" s="249" t="s">
        <v>45</v>
      </c>
      <c r="BK50" s="249" t="s">
        <v>45</v>
      </c>
      <c r="BL50" s="249" t="s">
        <v>45</v>
      </c>
      <c r="BM50" s="249" t="s">
        <v>45</v>
      </c>
      <c r="BN50" s="249" t="s">
        <v>45</v>
      </c>
      <c r="BO50" s="249" t="s">
        <v>45</v>
      </c>
      <c r="BP50" s="249" t="s">
        <v>45</v>
      </c>
      <c r="BQ50" s="249" t="s">
        <v>45</v>
      </c>
      <c r="BR50" s="249" t="s">
        <v>45</v>
      </c>
      <c r="BS50" s="249" t="s">
        <v>45</v>
      </c>
      <c r="BT50" s="249" t="s">
        <v>45</v>
      </c>
      <c r="BU50" s="249" t="s">
        <v>45</v>
      </c>
      <c r="BV50" s="249" t="s">
        <v>45</v>
      </c>
      <c r="BW50" s="249" t="s">
        <v>45</v>
      </c>
      <c r="BX50" s="249" t="s">
        <v>45</v>
      </c>
      <c r="BY50" s="249" t="s">
        <v>45</v>
      </c>
      <c r="BZ50" s="249" t="s">
        <v>45</v>
      </c>
      <c r="CA50" s="249" t="s">
        <v>45</v>
      </c>
      <c r="CB50" s="249" t="s">
        <v>45</v>
      </c>
      <c r="CC50" s="249" t="s">
        <v>45</v>
      </c>
      <c r="CD50" s="249" t="s">
        <v>45</v>
      </c>
      <c r="CE50" s="249" t="s">
        <v>45</v>
      </c>
      <c r="CF50" s="249" t="s">
        <v>45</v>
      </c>
      <c r="CG50" s="249" t="s">
        <v>45</v>
      </c>
      <c r="CH50" s="249" t="s">
        <v>45</v>
      </c>
      <c r="CI50" s="249" t="s">
        <v>45</v>
      </c>
      <c r="CJ50" s="249" t="s">
        <v>45</v>
      </c>
      <c r="CK50" s="249" t="s">
        <v>45</v>
      </c>
      <c r="CL50" s="249" t="s">
        <v>45</v>
      </c>
      <c r="CM50" s="249" t="s">
        <v>45</v>
      </c>
      <c r="CN50" s="249" t="s">
        <v>45</v>
      </c>
      <c r="CO50" s="249" t="s">
        <v>45</v>
      </c>
      <c r="CP50" s="249" t="s">
        <v>45</v>
      </c>
      <c r="CQ50" s="249" t="s">
        <v>45</v>
      </c>
      <c r="CR50" s="249" t="s">
        <v>45</v>
      </c>
      <c r="CS50" s="249" t="s">
        <v>45</v>
      </c>
      <c r="CT50" s="249" t="s">
        <v>45</v>
      </c>
      <c r="CU50" s="153"/>
      <c r="CV50" s="337"/>
      <c r="CW50" s="37"/>
    </row>
    <row r="51" spans="2:115" ht="15" thickTop="1" x14ac:dyDescent="0.35">
      <c r="B51" s="299">
        <v>2022</v>
      </c>
      <c r="C51" s="340" t="s">
        <v>45</v>
      </c>
      <c r="D51" s="340"/>
      <c r="E51" s="345" t="s">
        <v>385</v>
      </c>
      <c r="F51" s="346" t="s">
        <v>45</v>
      </c>
      <c r="G51" s="347" t="s">
        <v>424</v>
      </c>
      <c r="H51" s="347"/>
      <c r="I51" s="348" t="s">
        <v>45</v>
      </c>
      <c r="J51" s="348" t="s">
        <v>45</v>
      </c>
      <c r="K51" s="348" t="s">
        <v>45</v>
      </c>
      <c r="L51" s="348"/>
      <c r="M51" s="348" t="s">
        <v>45</v>
      </c>
      <c r="N51" s="348"/>
      <c r="O51" s="348" t="s">
        <v>45</v>
      </c>
      <c r="P51" s="348" t="s">
        <v>45</v>
      </c>
      <c r="Q51" s="348" t="s">
        <v>45</v>
      </c>
      <c r="R51" s="348" t="s">
        <v>45</v>
      </c>
      <c r="S51" s="348" t="s">
        <v>45</v>
      </c>
      <c r="T51" s="348" t="s">
        <v>45</v>
      </c>
      <c r="U51" s="348" t="s">
        <v>45</v>
      </c>
      <c r="V51" s="348" t="s">
        <v>45</v>
      </c>
      <c r="W51" s="348" t="s">
        <v>45</v>
      </c>
      <c r="X51" s="348"/>
      <c r="Y51" s="925" t="s">
        <v>211</v>
      </c>
      <c r="Z51" s="927" t="s">
        <v>45</v>
      </c>
      <c r="AA51" s="348" t="s">
        <v>45</v>
      </c>
      <c r="AB51" s="348" t="s">
        <v>45</v>
      </c>
      <c r="AC51" s="348" t="s">
        <v>45</v>
      </c>
      <c r="AD51" s="348" t="s">
        <v>45</v>
      </c>
      <c r="AE51" s="348"/>
      <c r="AF51" s="348" t="s">
        <v>45</v>
      </c>
      <c r="AG51" s="348" t="s">
        <v>45</v>
      </c>
      <c r="AH51" s="348" t="s">
        <v>45</v>
      </c>
      <c r="AI51" s="348" t="s">
        <v>45</v>
      </c>
      <c r="AJ51" s="348" t="s">
        <v>45</v>
      </c>
      <c r="AK51" s="348" t="s">
        <v>45</v>
      </c>
      <c r="AL51" s="348" t="s">
        <v>45</v>
      </c>
      <c r="AM51" s="348"/>
      <c r="AN51" s="348" t="s">
        <v>45</v>
      </c>
      <c r="AO51" s="348" t="s">
        <v>45</v>
      </c>
      <c r="AP51" s="348"/>
      <c r="AQ51" s="926" t="s">
        <v>45</v>
      </c>
      <c r="AR51" s="954" t="s">
        <v>2277</v>
      </c>
      <c r="AS51" s="961" t="s">
        <v>2630</v>
      </c>
      <c r="AT51" s="347" t="s">
        <v>2280</v>
      </c>
      <c r="AU51" s="347" t="s">
        <v>2642</v>
      </c>
      <c r="AV51" s="347" t="s">
        <v>2745</v>
      </c>
      <c r="AW51" s="817" t="s">
        <v>2369</v>
      </c>
      <c r="AX51" s="817"/>
      <c r="AY51" s="817"/>
      <c r="AZ51" s="347" t="s">
        <v>2365</v>
      </c>
      <c r="BA51" s="817" t="s">
        <v>2366</v>
      </c>
      <c r="BB51" s="817" t="s">
        <v>2639</v>
      </c>
      <c r="BC51" s="817" t="s">
        <v>2370</v>
      </c>
      <c r="BD51" s="817" t="s">
        <v>2373</v>
      </c>
      <c r="BE51" s="817" t="s">
        <v>2531</v>
      </c>
      <c r="BF51" s="817" t="s">
        <v>2532</v>
      </c>
      <c r="BG51" s="817" t="s">
        <v>2540</v>
      </c>
      <c r="BH51" s="817" t="s">
        <v>2541</v>
      </c>
      <c r="BI51" s="817" t="s">
        <v>2542</v>
      </c>
      <c r="BJ51" s="970" t="s">
        <v>45</v>
      </c>
      <c r="BK51" s="970" t="s">
        <v>45</v>
      </c>
      <c r="BL51" s="970"/>
      <c r="BM51" s="970" t="s">
        <v>2702</v>
      </c>
      <c r="BN51" s="970" t="s">
        <v>2703</v>
      </c>
      <c r="BO51" s="970" t="s">
        <v>2731</v>
      </c>
      <c r="BP51" s="970" t="s">
        <v>2758</v>
      </c>
      <c r="BQ51" s="970" t="s">
        <v>2759</v>
      </c>
      <c r="BR51" s="970" t="s">
        <v>2768</v>
      </c>
      <c r="BS51" s="970" t="s">
        <v>2771</v>
      </c>
      <c r="BT51" s="970" t="s">
        <v>2772</v>
      </c>
      <c r="BU51" s="970" t="s">
        <v>2776</v>
      </c>
      <c r="BV51" s="970" t="s">
        <v>2777</v>
      </c>
      <c r="BW51" s="970" t="s">
        <v>2779</v>
      </c>
      <c r="BX51" s="970" t="s">
        <v>2750</v>
      </c>
      <c r="BY51" s="970" t="s">
        <v>2757</v>
      </c>
      <c r="BZ51" s="970" t="s">
        <v>2756</v>
      </c>
      <c r="CA51" s="970" t="s">
        <v>2670</v>
      </c>
      <c r="CB51" s="970" t="s">
        <v>2673</v>
      </c>
      <c r="CC51" s="970" t="s">
        <v>45</v>
      </c>
      <c r="CD51" s="970" t="s">
        <v>2666</v>
      </c>
      <c r="CE51" s="970" t="s">
        <v>2669</v>
      </c>
      <c r="CF51" s="970" t="s">
        <v>2667</v>
      </c>
      <c r="CG51" s="970" t="s">
        <v>2683</v>
      </c>
      <c r="CH51" s="970" t="s">
        <v>45</v>
      </c>
      <c r="CI51" s="970" t="s">
        <v>3073</v>
      </c>
      <c r="CJ51" s="970" t="s">
        <v>3077</v>
      </c>
      <c r="CK51" s="970" t="s">
        <v>2682</v>
      </c>
      <c r="CL51" s="970" t="s">
        <v>45</v>
      </c>
      <c r="CM51" s="970" t="s">
        <v>2714</v>
      </c>
      <c r="CN51" s="970" t="s">
        <v>2727</v>
      </c>
      <c r="CO51" s="970" t="s">
        <v>2693</v>
      </c>
      <c r="CP51" s="970" t="s">
        <v>2692</v>
      </c>
      <c r="CQ51" s="970" t="s">
        <v>2684</v>
      </c>
      <c r="CR51" s="970" t="s">
        <v>2685</v>
      </c>
      <c r="CS51" s="970" t="s">
        <v>2686</v>
      </c>
      <c r="CT51" s="970" t="s">
        <v>2919</v>
      </c>
      <c r="CU51" s="934" t="s">
        <v>45</v>
      </c>
      <c r="CV51" s="183" t="s">
        <v>45</v>
      </c>
    </row>
    <row r="52" spans="2:115" x14ac:dyDescent="0.35">
      <c r="B52" s="299">
        <v>2023</v>
      </c>
      <c r="C52" s="340" t="s">
        <v>45</v>
      </c>
      <c r="D52" s="340"/>
      <c r="E52" s="349" t="s">
        <v>1066</v>
      </c>
      <c r="F52" s="346" t="s">
        <v>1067</v>
      </c>
      <c r="G52" s="347" t="s">
        <v>424</v>
      </c>
      <c r="H52" s="347"/>
      <c r="I52" s="342" t="s">
        <v>225</v>
      </c>
      <c r="J52" s="197" t="s">
        <v>866</v>
      </c>
      <c r="K52" s="196" t="s">
        <v>860</v>
      </c>
      <c r="L52" s="196"/>
      <c r="M52" s="196" t="s">
        <v>860</v>
      </c>
      <c r="N52" s="196"/>
      <c r="O52" s="348" t="s">
        <v>45</v>
      </c>
      <c r="P52" s="350" t="s">
        <v>1019</v>
      </c>
      <c r="Q52" s="196" t="s">
        <v>860</v>
      </c>
      <c r="R52" s="196" t="s">
        <v>860</v>
      </c>
      <c r="S52" s="196" t="s">
        <v>860</v>
      </c>
      <c r="T52" s="196" t="s">
        <v>860</v>
      </c>
      <c r="U52" s="196" t="s">
        <v>45</v>
      </c>
      <c r="V52" s="196" t="s">
        <v>860</v>
      </c>
      <c r="W52" s="196" t="s">
        <v>860</v>
      </c>
      <c r="X52" s="196" t="s">
        <v>860</v>
      </c>
      <c r="Y52" s="196" t="s">
        <v>860</v>
      </c>
      <c r="Z52" s="196" t="s">
        <v>860</v>
      </c>
      <c r="AA52" s="196" t="s">
        <v>860</v>
      </c>
      <c r="AB52" s="196" t="s">
        <v>860</v>
      </c>
      <c r="AC52" s="196" t="s">
        <v>860</v>
      </c>
      <c r="AD52" s="196" t="s">
        <v>860</v>
      </c>
      <c r="AE52" s="196"/>
      <c r="AF52" s="196" t="s">
        <v>860</v>
      </c>
      <c r="AG52" s="196" t="s">
        <v>860</v>
      </c>
      <c r="AH52" s="196" t="s">
        <v>860</v>
      </c>
      <c r="AI52" s="196" t="s">
        <v>860</v>
      </c>
      <c r="AJ52" s="927" t="s">
        <v>45</v>
      </c>
      <c r="AK52" s="196" t="s">
        <v>860</v>
      </c>
      <c r="AL52" s="927" t="s">
        <v>45</v>
      </c>
      <c r="AM52" s="927"/>
      <c r="AN52" s="196" t="s">
        <v>860</v>
      </c>
      <c r="AO52" s="196"/>
      <c r="AP52" s="196"/>
      <c r="AQ52" s="927" t="s">
        <v>45</v>
      </c>
      <c r="AR52" s="954" t="s">
        <v>2277</v>
      </c>
      <c r="AS52" s="961" t="s">
        <v>2630</v>
      </c>
      <c r="AT52" s="347" t="s">
        <v>2281</v>
      </c>
      <c r="AU52" s="347" t="s">
        <v>2642</v>
      </c>
      <c r="AV52" s="347" t="s">
        <v>2745</v>
      </c>
      <c r="AW52" s="817" t="s">
        <v>2369</v>
      </c>
      <c r="AX52" s="817"/>
      <c r="AY52" s="817"/>
      <c r="AZ52" s="347" t="s">
        <v>2365</v>
      </c>
      <c r="BA52" s="817" t="s">
        <v>2366</v>
      </c>
      <c r="BB52" s="817" t="s">
        <v>2639</v>
      </c>
      <c r="BC52" s="817" t="s">
        <v>2370</v>
      </c>
      <c r="BD52" s="817" t="s">
        <v>2373</v>
      </c>
      <c r="BE52" s="817" t="s">
        <v>2531</v>
      </c>
      <c r="BF52" s="817" t="s">
        <v>2532</v>
      </c>
      <c r="BG52" s="817" t="s">
        <v>2540</v>
      </c>
      <c r="BH52" s="817" t="s">
        <v>2541</v>
      </c>
      <c r="BI52" s="817" t="s">
        <v>2542</v>
      </c>
      <c r="BJ52" s="970" t="s">
        <v>2544</v>
      </c>
      <c r="BK52" s="970" t="s">
        <v>2700</v>
      </c>
      <c r="BL52" s="970" t="s">
        <v>2924</v>
      </c>
      <c r="BM52" s="970" t="s">
        <v>2702</v>
      </c>
      <c r="BN52" s="970" t="s">
        <v>2703</v>
      </c>
      <c r="BO52" s="970" t="s">
        <v>2732</v>
      </c>
      <c r="BP52" s="970" t="s">
        <v>2758</v>
      </c>
      <c r="BQ52" s="970" t="s">
        <v>2759</v>
      </c>
      <c r="BR52" s="970" t="s">
        <v>2768</v>
      </c>
      <c r="BS52" s="970" t="s">
        <v>2771</v>
      </c>
      <c r="BT52" s="970" t="s">
        <v>2772</v>
      </c>
      <c r="BU52" s="970" t="s">
        <v>2776</v>
      </c>
      <c r="BV52" s="970" t="s">
        <v>2778</v>
      </c>
      <c r="BW52" s="970" t="s">
        <v>2779</v>
      </c>
      <c r="BX52" s="970" t="s">
        <v>2750</v>
      </c>
      <c r="BY52" s="970" t="s">
        <v>2757</v>
      </c>
      <c r="BZ52" s="970" t="s">
        <v>2756</v>
      </c>
      <c r="CA52" s="970" t="s">
        <v>2670</v>
      </c>
      <c r="CB52" s="970" t="s">
        <v>2673</v>
      </c>
      <c r="CC52" s="970" t="s">
        <v>45</v>
      </c>
      <c r="CD52" s="970" t="s">
        <v>2666</v>
      </c>
      <c r="CE52" s="970" t="s">
        <v>2669</v>
      </c>
      <c r="CF52" s="970" t="s">
        <v>2667</v>
      </c>
      <c r="CG52" s="970" t="s">
        <v>2683</v>
      </c>
      <c r="CH52" s="970" t="s">
        <v>45</v>
      </c>
      <c r="CI52" s="970" t="s">
        <v>3073</v>
      </c>
      <c r="CJ52" s="970" t="s">
        <v>3076</v>
      </c>
      <c r="CK52" s="970" t="s">
        <v>2682</v>
      </c>
      <c r="CL52" s="970" t="s">
        <v>45</v>
      </c>
      <c r="CM52" s="970" t="s">
        <v>2714</v>
      </c>
      <c r="CN52" s="970" t="s">
        <v>2727</v>
      </c>
      <c r="CO52" s="970" t="s">
        <v>2693</v>
      </c>
      <c r="CP52" s="970" t="s">
        <v>2692</v>
      </c>
      <c r="CQ52" s="970" t="s">
        <v>2684</v>
      </c>
      <c r="CR52" s="970" t="s">
        <v>2685</v>
      </c>
      <c r="CS52" s="970" t="s">
        <v>2686</v>
      </c>
      <c r="CT52" s="970" t="s">
        <v>2919</v>
      </c>
      <c r="CU52" s="934" t="s">
        <v>45</v>
      </c>
      <c r="CV52" t="s">
        <v>382</v>
      </c>
    </row>
    <row r="53" spans="2:115" x14ac:dyDescent="0.35">
      <c r="B53" s="299">
        <v>2024</v>
      </c>
      <c r="C53" s="351" t="s">
        <v>859</v>
      </c>
      <c r="D53" s="351"/>
      <c r="E53" s="406" t="s">
        <v>859</v>
      </c>
      <c r="F53" s="346" t="s">
        <v>225</v>
      </c>
      <c r="G53" s="349" t="s">
        <v>860</v>
      </c>
      <c r="H53" s="349"/>
      <c r="I53" s="342" t="s">
        <v>225</v>
      </c>
      <c r="J53" s="197" t="s">
        <v>866</v>
      </c>
      <c r="K53" s="196" t="s">
        <v>860</v>
      </c>
      <c r="L53" s="196"/>
      <c r="M53" s="196" t="s">
        <v>860</v>
      </c>
      <c r="N53" s="196"/>
      <c r="O53" s="348" t="s">
        <v>45</v>
      </c>
      <c r="P53" s="350" t="s">
        <v>1019</v>
      </c>
      <c r="Q53" s="196" t="s">
        <v>860</v>
      </c>
      <c r="R53" s="196" t="s">
        <v>860</v>
      </c>
      <c r="S53" s="196" t="s">
        <v>860</v>
      </c>
      <c r="T53" s="196" t="s">
        <v>860</v>
      </c>
      <c r="U53" s="196" t="s">
        <v>860</v>
      </c>
      <c r="V53" s="196" t="s">
        <v>860</v>
      </c>
      <c r="W53" s="196" t="s">
        <v>860</v>
      </c>
      <c r="X53" s="196" t="s">
        <v>860</v>
      </c>
      <c r="Y53" s="196" t="s">
        <v>860</v>
      </c>
      <c r="Z53" s="196" t="s">
        <v>860</v>
      </c>
      <c r="AA53" s="196" t="s">
        <v>860</v>
      </c>
      <c r="AB53" s="196" t="s">
        <v>860</v>
      </c>
      <c r="AC53" s="196" t="s">
        <v>860</v>
      </c>
      <c r="AD53" s="196" t="s">
        <v>860</v>
      </c>
      <c r="AE53" s="196"/>
      <c r="AF53" s="196" t="s">
        <v>860</v>
      </c>
      <c r="AG53" s="196" t="s">
        <v>860</v>
      </c>
      <c r="AH53" s="196" t="s">
        <v>860</v>
      </c>
      <c r="AI53" s="196" t="s">
        <v>860</v>
      </c>
      <c r="AJ53" s="196" t="s">
        <v>860</v>
      </c>
      <c r="AK53" s="196" t="s">
        <v>860</v>
      </c>
      <c r="AL53" s="196" t="s">
        <v>860</v>
      </c>
      <c r="AM53" s="196"/>
      <c r="AN53" s="196" t="s">
        <v>860</v>
      </c>
      <c r="AO53" s="196" t="s">
        <v>860</v>
      </c>
      <c r="AP53" s="196"/>
      <c r="AQ53" s="196" t="s">
        <v>860</v>
      </c>
      <c r="AR53" s="954" t="s">
        <v>2277</v>
      </c>
      <c r="AS53" s="961" t="s">
        <v>2630</v>
      </c>
      <c r="AT53" s="347" t="s">
        <v>2282</v>
      </c>
      <c r="AU53" s="347" t="s">
        <v>45</v>
      </c>
      <c r="AV53" s="347" t="s">
        <v>2745</v>
      </c>
      <c r="AW53" s="817" t="s">
        <v>2371</v>
      </c>
      <c r="AX53" s="817"/>
      <c r="AY53" s="817"/>
      <c r="AZ53" s="347" t="s">
        <v>2365</v>
      </c>
      <c r="BA53" s="817" t="s">
        <v>2366</v>
      </c>
      <c r="BB53" s="817" t="s">
        <v>45</v>
      </c>
      <c r="BC53" s="817" t="s">
        <v>2370</v>
      </c>
      <c r="BD53" s="817" t="s">
        <v>2373</v>
      </c>
      <c r="BE53" s="817" t="s">
        <v>2531</v>
      </c>
      <c r="BF53" s="817" t="s">
        <v>2532</v>
      </c>
      <c r="BG53" s="817" t="s">
        <v>2540</v>
      </c>
      <c r="BH53" s="817" t="s">
        <v>2541</v>
      </c>
      <c r="BI53" s="817" t="s">
        <v>2542</v>
      </c>
      <c r="BJ53" s="970" t="s">
        <v>2543</v>
      </c>
      <c r="BK53" s="970" t="s">
        <v>45</v>
      </c>
      <c r="BL53" s="970"/>
      <c r="BM53" s="970" t="s">
        <v>2702</v>
      </c>
      <c r="BN53" s="970" t="s">
        <v>2703</v>
      </c>
      <c r="BO53" s="970" t="s">
        <v>45</v>
      </c>
      <c r="BP53" s="970" t="s">
        <v>2758</v>
      </c>
      <c r="BQ53" s="970" t="s">
        <v>2759</v>
      </c>
      <c r="BR53" s="970" t="s">
        <v>2768</v>
      </c>
      <c r="BS53" s="970" t="s">
        <v>2771</v>
      </c>
      <c r="BT53" s="970" t="s">
        <v>2772</v>
      </c>
      <c r="BU53" s="970" t="s">
        <v>2776</v>
      </c>
      <c r="BV53" s="970" t="s">
        <v>45</v>
      </c>
      <c r="BW53" s="970" t="s">
        <v>2780</v>
      </c>
      <c r="BX53" s="970" t="s">
        <v>2750</v>
      </c>
      <c r="BY53" s="970" t="s">
        <v>2757</v>
      </c>
      <c r="BZ53" s="970" t="s">
        <v>2756</v>
      </c>
      <c r="CA53" s="970" t="s">
        <v>2670</v>
      </c>
      <c r="CB53" s="970" t="s">
        <v>2672</v>
      </c>
      <c r="CC53" s="970" t="s">
        <v>2675</v>
      </c>
      <c r="CD53" s="970" t="s">
        <v>2666</v>
      </c>
      <c r="CE53" s="970" t="s">
        <v>2669</v>
      </c>
      <c r="CF53" s="970" t="s">
        <v>2668</v>
      </c>
      <c r="CG53" s="970" t="s">
        <v>2683</v>
      </c>
      <c r="CH53" s="970" t="s">
        <v>2674</v>
      </c>
      <c r="CI53" s="970" t="s">
        <v>3073</v>
      </c>
      <c r="CJ53" s="970" t="s">
        <v>3075</v>
      </c>
      <c r="CK53" s="970" t="s">
        <v>2682</v>
      </c>
      <c r="CL53" s="970" t="s">
        <v>2681</v>
      </c>
      <c r="CM53" s="970" t="s">
        <v>2714</v>
      </c>
      <c r="CN53" s="970" t="s">
        <v>2727</v>
      </c>
      <c r="CO53" s="970" t="s">
        <v>45</v>
      </c>
      <c r="CP53" s="970"/>
      <c r="CQ53" s="970" t="s">
        <v>2684</v>
      </c>
      <c r="CR53" s="970" t="s">
        <v>2927</v>
      </c>
      <c r="CS53" s="970" t="s">
        <v>2686</v>
      </c>
      <c r="CT53" s="970" t="s">
        <v>2920</v>
      </c>
      <c r="CU53" s="934" t="s">
        <v>45</v>
      </c>
      <c r="CV53" s="264" t="s">
        <v>425</v>
      </c>
      <c r="CW53" s="265" t="s">
        <v>1021</v>
      </c>
    </row>
    <row r="54" spans="2:115" x14ac:dyDescent="0.35">
      <c r="B54" s="299">
        <v>2025</v>
      </c>
      <c r="C54" s="344" t="s">
        <v>932</v>
      </c>
      <c r="D54" s="344"/>
      <c r="E54" s="342" t="s">
        <v>860</v>
      </c>
      <c r="F54" s="346" t="s">
        <v>225</v>
      </c>
      <c r="G54" s="349" t="s">
        <v>860</v>
      </c>
      <c r="H54" s="349"/>
      <c r="I54" s="342" t="s">
        <v>225</v>
      </c>
      <c r="J54" s="197" t="s">
        <v>867</v>
      </c>
      <c r="K54" s="196" t="s">
        <v>860</v>
      </c>
      <c r="L54" s="196"/>
      <c r="M54" s="196" t="s">
        <v>860</v>
      </c>
      <c r="N54" s="196"/>
      <c r="O54" s="342" t="s">
        <v>225</v>
      </c>
      <c r="P54" s="350" t="s">
        <v>1020</v>
      </c>
      <c r="Q54" s="196" t="s">
        <v>860</v>
      </c>
      <c r="R54" s="196" t="s">
        <v>860</v>
      </c>
      <c r="S54" s="196" t="s">
        <v>860</v>
      </c>
      <c r="T54" s="196" t="s">
        <v>860</v>
      </c>
      <c r="U54" s="196" t="s">
        <v>860</v>
      </c>
      <c r="V54" s="976" t="s">
        <v>2695</v>
      </c>
      <c r="W54" s="196" t="s">
        <v>860</v>
      </c>
      <c r="X54" s="196" t="s">
        <v>860</v>
      </c>
      <c r="Y54" s="196" t="s">
        <v>860</v>
      </c>
      <c r="Z54" s="196" t="s">
        <v>860</v>
      </c>
      <c r="AA54" s="196" t="s">
        <v>860</v>
      </c>
      <c r="AB54" s="196" t="s">
        <v>860</v>
      </c>
      <c r="AC54" s="196" t="s">
        <v>860</v>
      </c>
      <c r="AD54" s="196" t="s">
        <v>860</v>
      </c>
      <c r="AE54" s="196"/>
      <c r="AF54" s="196" t="s">
        <v>860</v>
      </c>
      <c r="AG54" s="196" t="s">
        <v>860</v>
      </c>
      <c r="AH54" s="196" t="s">
        <v>860</v>
      </c>
      <c r="AI54" s="196" t="s">
        <v>860</v>
      </c>
      <c r="AJ54" s="196" t="s">
        <v>860</v>
      </c>
      <c r="AK54" s="196" t="s">
        <v>860</v>
      </c>
      <c r="AL54" s="196" t="s">
        <v>860</v>
      </c>
      <c r="AM54" s="196"/>
      <c r="AN54" s="196" t="s">
        <v>860</v>
      </c>
      <c r="AO54" s="196" t="s">
        <v>860</v>
      </c>
      <c r="AP54" s="196"/>
      <c r="AQ54" s="196" t="s">
        <v>860</v>
      </c>
      <c r="AR54" s="236" t="s">
        <v>2362</v>
      </c>
      <c r="AS54" s="349"/>
      <c r="AT54" s="347" t="s">
        <v>2279</v>
      </c>
      <c r="AU54" s="347" t="s">
        <v>45</v>
      </c>
      <c r="AV54" s="347"/>
      <c r="AW54" s="817"/>
      <c r="AX54" s="817"/>
      <c r="AY54" s="817"/>
      <c r="AZ54" s="347" t="s">
        <v>45</v>
      </c>
      <c r="BA54" s="817" t="s">
        <v>45</v>
      </c>
      <c r="BB54" s="817"/>
      <c r="BC54" s="817" t="s">
        <v>45</v>
      </c>
      <c r="BD54" s="817"/>
      <c r="BE54" s="817" t="s">
        <v>2531</v>
      </c>
      <c r="BF54" s="817" t="s">
        <v>2532</v>
      </c>
      <c r="BG54" s="817" t="s">
        <v>2540</v>
      </c>
      <c r="BH54" s="817" t="s">
        <v>2541</v>
      </c>
      <c r="BI54" s="817" t="s">
        <v>45</v>
      </c>
      <c r="BJ54" s="970" t="s">
        <v>45</v>
      </c>
      <c r="BK54" s="970" t="s">
        <v>45</v>
      </c>
      <c r="BL54" s="970"/>
      <c r="BM54" s="970" t="s">
        <v>45</v>
      </c>
      <c r="BN54" s="970" t="s">
        <v>45</v>
      </c>
      <c r="BO54" s="970"/>
      <c r="BP54" s="970"/>
      <c r="BQ54" s="970"/>
      <c r="BR54" s="970"/>
      <c r="BS54" s="970"/>
      <c r="BT54" s="970"/>
      <c r="BU54" s="970"/>
      <c r="BV54" s="970"/>
      <c r="BW54" s="970"/>
      <c r="BX54" s="970"/>
      <c r="BY54" s="970"/>
      <c r="BZ54" s="970"/>
      <c r="CA54" s="970" t="s">
        <v>2979</v>
      </c>
      <c r="CB54" s="970" t="s">
        <v>45</v>
      </c>
      <c r="CC54" s="970" t="s">
        <v>45</v>
      </c>
      <c r="CD54" s="970"/>
      <c r="CE54" s="970"/>
      <c r="CF54" s="970"/>
      <c r="CG54" s="970"/>
      <c r="CH54" s="970" t="s">
        <v>45</v>
      </c>
      <c r="CI54" s="970" t="s">
        <v>3073</v>
      </c>
      <c r="CJ54" s="970" t="s">
        <v>45</v>
      </c>
      <c r="CK54" s="970"/>
      <c r="CL54" s="970"/>
      <c r="CM54" s="970"/>
      <c r="CN54" s="970"/>
      <c r="CO54" s="970"/>
      <c r="CP54" s="970"/>
      <c r="CQ54" s="970"/>
      <c r="CR54" s="970" t="s">
        <v>45</v>
      </c>
      <c r="CS54" s="970" t="s">
        <v>45</v>
      </c>
      <c r="CT54" s="970"/>
      <c r="CU54" s="934" t="s">
        <v>45</v>
      </c>
      <c r="DB54" s="4"/>
      <c r="DC54" s="4"/>
      <c r="DD54" s="2"/>
      <c r="DE54" s="2"/>
      <c r="DF54" s="185"/>
      <c r="DG54" s="2"/>
      <c r="DH54" s="34"/>
      <c r="DI54" s="34"/>
      <c r="DJ54" s="34"/>
      <c r="DK54" s="34"/>
    </row>
    <row r="55" spans="2:115" x14ac:dyDescent="0.35">
      <c r="B55" s="149">
        <v>2026</v>
      </c>
      <c r="C55" s="4" t="s">
        <v>1022</v>
      </c>
      <c r="D55" s="4"/>
      <c r="E55" s="7" t="s">
        <v>860</v>
      </c>
      <c r="F55" s="137" t="s">
        <v>225</v>
      </c>
      <c r="G55" t="s">
        <v>860</v>
      </c>
      <c r="I55" s="7" t="s">
        <v>225</v>
      </c>
      <c r="J55" s="34" t="s">
        <v>860</v>
      </c>
      <c r="K55" s="34" t="s">
        <v>860</v>
      </c>
      <c r="L55" s="34"/>
      <c r="M55" s="34" t="s">
        <v>860</v>
      </c>
      <c r="N55" s="34"/>
      <c r="O55" s="7" t="s">
        <v>225</v>
      </c>
      <c r="P55" s="34" t="s">
        <v>860</v>
      </c>
      <c r="Q55" s="34" t="s">
        <v>860</v>
      </c>
      <c r="R55" s="34" t="s">
        <v>860</v>
      </c>
      <c r="S55" s="172" t="s">
        <v>860</v>
      </c>
      <c r="T55" s="172" t="s">
        <v>860</v>
      </c>
      <c r="U55" s="172" t="s">
        <v>860</v>
      </c>
      <c r="V55" s="975" t="s">
        <v>2695</v>
      </c>
      <c r="W55" s="172" t="s">
        <v>860</v>
      </c>
      <c r="X55" s="172" t="s">
        <v>860</v>
      </c>
      <c r="Y55" s="172" t="s">
        <v>860</v>
      </c>
      <c r="Z55" s="172" t="s">
        <v>860</v>
      </c>
      <c r="AA55" s="172" t="s">
        <v>860</v>
      </c>
      <c r="AB55" s="172" t="s">
        <v>860</v>
      </c>
      <c r="AC55" s="172" t="s">
        <v>860</v>
      </c>
      <c r="AD55" s="172" t="s">
        <v>860</v>
      </c>
      <c r="AE55" s="172"/>
      <c r="AF55" s="172" t="s">
        <v>860</v>
      </c>
      <c r="AG55" s="172" t="s">
        <v>860</v>
      </c>
      <c r="AH55" s="172" t="s">
        <v>860</v>
      </c>
      <c r="AI55" s="172" t="s">
        <v>860</v>
      </c>
      <c r="AJ55" s="172" t="s">
        <v>860</v>
      </c>
      <c r="AK55" s="172" t="s">
        <v>860</v>
      </c>
      <c r="AL55" s="172" t="s">
        <v>860</v>
      </c>
      <c r="AM55" s="172"/>
      <c r="AN55" s="172" t="s">
        <v>860</v>
      </c>
      <c r="AO55" s="172" t="s">
        <v>860</v>
      </c>
      <c r="AP55" s="172"/>
      <c r="AQ55" s="172" t="s">
        <v>860</v>
      </c>
      <c r="AR55" s="52"/>
      <c r="CU55" s="53"/>
      <c r="DB55" s="4"/>
      <c r="DC55" s="4"/>
      <c r="DD55" s="2"/>
      <c r="DE55" s="2"/>
      <c r="DF55" s="185"/>
      <c r="DG55" s="2"/>
      <c r="DH55" s="34"/>
      <c r="DI55" s="34"/>
      <c r="DJ55" s="34"/>
      <c r="DK55" s="34"/>
    </row>
    <row r="56" spans="2:115" x14ac:dyDescent="0.35">
      <c r="B56" s="149">
        <v>2027</v>
      </c>
      <c r="C56" s="4" t="s">
        <v>1022</v>
      </c>
      <c r="D56" s="4"/>
      <c r="E56" s="7" t="s">
        <v>860</v>
      </c>
      <c r="F56" s="185" t="s">
        <v>862</v>
      </c>
      <c r="G56" t="s">
        <v>860</v>
      </c>
      <c r="I56" s="7" t="s">
        <v>225</v>
      </c>
      <c r="J56" s="34" t="s">
        <v>860</v>
      </c>
      <c r="K56" s="34" t="s">
        <v>860</v>
      </c>
      <c r="L56" s="34"/>
      <c r="M56" s="34" t="s">
        <v>860</v>
      </c>
      <c r="N56" s="34"/>
      <c r="O56" s="7" t="s">
        <v>225</v>
      </c>
      <c r="P56" s="34" t="s">
        <v>860</v>
      </c>
      <c r="Q56" s="34" t="s">
        <v>860</v>
      </c>
      <c r="R56" s="34" t="s">
        <v>860</v>
      </c>
      <c r="S56" s="172" t="s">
        <v>860</v>
      </c>
      <c r="T56" s="172" t="s">
        <v>860</v>
      </c>
      <c r="U56" s="172" t="s">
        <v>860</v>
      </c>
      <c r="V56" s="172" t="s">
        <v>860</v>
      </c>
      <c r="W56" s="172" t="s">
        <v>860</v>
      </c>
      <c r="X56" s="172" t="s">
        <v>860</v>
      </c>
      <c r="Y56" s="172" t="s">
        <v>860</v>
      </c>
      <c r="Z56" s="172" t="s">
        <v>860</v>
      </c>
      <c r="AA56" s="172" t="s">
        <v>860</v>
      </c>
      <c r="AB56" s="172" t="s">
        <v>860</v>
      </c>
      <c r="AC56" s="172" t="s">
        <v>860</v>
      </c>
      <c r="AD56" s="172" t="s">
        <v>860</v>
      </c>
      <c r="AE56" s="172"/>
      <c r="AF56" s="172" t="s">
        <v>860</v>
      </c>
      <c r="AG56" s="172" t="s">
        <v>860</v>
      </c>
      <c r="AH56" s="172" t="s">
        <v>860</v>
      </c>
      <c r="AI56" s="172" t="s">
        <v>860</v>
      </c>
      <c r="AJ56" s="172" t="s">
        <v>860</v>
      </c>
      <c r="AK56" s="172" t="s">
        <v>860</v>
      </c>
      <c r="AL56" s="172" t="s">
        <v>860</v>
      </c>
      <c r="AM56" s="172"/>
      <c r="AN56" s="172" t="s">
        <v>860</v>
      </c>
      <c r="AO56" s="172" t="s">
        <v>860</v>
      </c>
      <c r="AP56" s="172"/>
      <c r="AQ56" s="172" t="s">
        <v>860</v>
      </c>
      <c r="AR56" s="52"/>
      <c r="CU56" s="53"/>
      <c r="DB56" s="4"/>
      <c r="DC56" s="4"/>
      <c r="DD56" s="2"/>
      <c r="DE56" s="2"/>
      <c r="DF56" s="185"/>
      <c r="DG56" s="2"/>
      <c r="DH56" s="34"/>
      <c r="DI56" s="34"/>
      <c r="DJ56" s="34"/>
      <c r="DK56" s="34"/>
    </row>
    <row r="57" spans="2:115" x14ac:dyDescent="0.35">
      <c r="B57" s="149">
        <v>2028</v>
      </c>
      <c r="C57" s="4" t="s">
        <v>1022</v>
      </c>
      <c r="D57" s="4"/>
      <c r="E57" s="7" t="s">
        <v>860</v>
      </c>
      <c r="F57" s="185" t="s">
        <v>862</v>
      </c>
      <c r="G57" t="s">
        <v>860</v>
      </c>
      <c r="I57" s="7" t="s">
        <v>225</v>
      </c>
      <c r="J57" s="34" t="s">
        <v>860</v>
      </c>
      <c r="K57" s="34" t="s">
        <v>860</v>
      </c>
      <c r="L57" s="34"/>
      <c r="M57" s="34" t="s">
        <v>860</v>
      </c>
      <c r="N57" s="34"/>
      <c r="O57" s="7" t="s">
        <v>225</v>
      </c>
      <c r="P57" s="34" t="s">
        <v>860</v>
      </c>
      <c r="Q57" s="34" t="s">
        <v>860</v>
      </c>
      <c r="R57" s="34" t="s">
        <v>860</v>
      </c>
      <c r="S57" s="172" t="s">
        <v>860</v>
      </c>
      <c r="T57" s="172" t="s">
        <v>860</v>
      </c>
      <c r="U57" s="172" t="s">
        <v>860</v>
      </c>
      <c r="V57" s="172" t="s">
        <v>860</v>
      </c>
      <c r="W57" s="172" t="s">
        <v>860</v>
      </c>
      <c r="X57" s="172" t="s">
        <v>860</v>
      </c>
      <c r="Y57" s="172" t="s">
        <v>860</v>
      </c>
      <c r="Z57" s="172" t="s">
        <v>860</v>
      </c>
      <c r="AA57" s="172" t="s">
        <v>860</v>
      </c>
      <c r="AB57" s="172" t="s">
        <v>860</v>
      </c>
      <c r="AC57" s="172" t="s">
        <v>860</v>
      </c>
      <c r="AD57" s="172" t="s">
        <v>860</v>
      </c>
      <c r="AE57" s="172"/>
      <c r="AF57" s="172" t="s">
        <v>860</v>
      </c>
      <c r="AG57" s="172" t="s">
        <v>860</v>
      </c>
      <c r="AH57" s="172" t="s">
        <v>860</v>
      </c>
      <c r="AI57" s="172" t="s">
        <v>860</v>
      </c>
      <c r="AJ57" s="172" t="s">
        <v>860</v>
      </c>
      <c r="AK57" s="172" t="s">
        <v>860</v>
      </c>
      <c r="AL57" s="172" t="s">
        <v>860</v>
      </c>
      <c r="AM57" s="172"/>
      <c r="AN57" s="172" t="s">
        <v>860</v>
      </c>
      <c r="AO57" s="172" t="s">
        <v>860</v>
      </c>
      <c r="AP57" s="172"/>
      <c r="AQ57" s="172" t="s">
        <v>860</v>
      </c>
      <c r="AR57" s="52"/>
      <c r="CU57" s="53"/>
      <c r="DB57" s="4"/>
      <c r="DC57" s="4"/>
      <c r="DD57" s="2"/>
      <c r="DE57" s="2"/>
      <c r="DF57" s="185"/>
      <c r="DG57" s="2"/>
      <c r="DH57" s="34"/>
      <c r="DI57" s="34"/>
      <c r="DJ57" s="34"/>
      <c r="DK57" s="34"/>
    </row>
    <row r="58" spans="2:115" x14ac:dyDescent="0.35">
      <c r="B58" s="517">
        <v>2029</v>
      </c>
      <c r="C58" s="657" t="s">
        <v>1022</v>
      </c>
      <c r="D58" s="657"/>
      <c r="E58" s="580" t="s">
        <v>860</v>
      </c>
      <c r="F58" s="520" t="s">
        <v>862</v>
      </c>
      <c r="G58" s="1" t="s">
        <v>860</v>
      </c>
      <c r="H58" s="1"/>
      <c r="I58" s="580" t="s">
        <v>225</v>
      </c>
      <c r="J58" s="230" t="s">
        <v>860</v>
      </c>
      <c r="K58" s="230" t="s">
        <v>860</v>
      </c>
      <c r="L58" s="230"/>
      <c r="M58" s="230" t="s">
        <v>860</v>
      </c>
      <c r="N58" s="230"/>
      <c r="O58" s="580" t="s">
        <v>225</v>
      </c>
      <c r="P58" s="230" t="s">
        <v>860</v>
      </c>
      <c r="Q58" s="230" t="s">
        <v>860</v>
      </c>
      <c r="R58" s="230" t="s">
        <v>860</v>
      </c>
      <c r="S58" s="230" t="s">
        <v>860</v>
      </c>
      <c r="T58" s="230" t="s">
        <v>860</v>
      </c>
      <c r="U58" s="230" t="s">
        <v>860</v>
      </c>
      <c r="V58" s="230" t="s">
        <v>860</v>
      </c>
      <c r="W58" s="230" t="s">
        <v>860</v>
      </c>
      <c r="X58" s="230" t="s">
        <v>860</v>
      </c>
      <c r="Y58" s="230" t="s">
        <v>860</v>
      </c>
      <c r="Z58" s="230" t="s">
        <v>860</v>
      </c>
      <c r="AA58" s="230" t="s">
        <v>860</v>
      </c>
      <c r="AB58" s="230" t="s">
        <v>860</v>
      </c>
      <c r="AC58" s="230" t="s">
        <v>860</v>
      </c>
      <c r="AD58" s="230" t="s">
        <v>860</v>
      </c>
      <c r="AE58" s="230"/>
      <c r="AF58" s="230" t="s">
        <v>860</v>
      </c>
      <c r="AG58" s="230" t="s">
        <v>860</v>
      </c>
      <c r="AH58" s="230" t="s">
        <v>860</v>
      </c>
      <c r="AI58" s="230" t="s">
        <v>860</v>
      </c>
      <c r="AJ58" s="230" t="s">
        <v>860</v>
      </c>
      <c r="AK58" s="230" t="s">
        <v>860</v>
      </c>
      <c r="AL58" s="230" t="s">
        <v>860</v>
      </c>
      <c r="AM58" s="230"/>
      <c r="AN58" s="230" t="s">
        <v>860</v>
      </c>
      <c r="AO58" s="230" t="s">
        <v>860</v>
      </c>
      <c r="AP58" s="230"/>
      <c r="AQ58" s="230" t="s">
        <v>860</v>
      </c>
      <c r="AR58" s="522"/>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738"/>
      <c r="DB58" s="4"/>
      <c r="DC58" s="4"/>
      <c r="DD58" s="2"/>
      <c r="DE58" s="2"/>
      <c r="DF58" s="185"/>
      <c r="DG58" s="2"/>
      <c r="DH58" s="34"/>
      <c r="DI58" s="34"/>
      <c r="DJ58" s="34"/>
      <c r="DK58" s="34"/>
    </row>
    <row r="59" spans="2:115" x14ac:dyDescent="0.35">
      <c r="B59" s="149">
        <v>2030</v>
      </c>
      <c r="C59" s="4" t="s">
        <v>1022</v>
      </c>
      <c r="D59" s="4"/>
      <c r="E59" s="7" t="s">
        <v>860</v>
      </c>
      <c r="F59" s="185" t="s">
        <v>862</v>
      </c>
      <c r="G59" t="s">
        <v>860</v>
      </c>
      <c r="I59" s="7" t="s">
        <v>225</v>
      </c>
      <c r="J59" s="34" t="s">
        <v>860</v>
      </c>
      <c r="K59" s="34" t="s">
        <v>860</v>
      </c>
      <c r="L59" s="34"/>
      <c r="M59" s="34" t="s">
        <v>860</v>
      </c>
      <c r="N59" s="34"/>
      <c r="O59" s="7" t="s">
        <v>225</v>
      </c>
      <c r="P59" s="34" t="s">
        <v>860</v>
      </c>
      <c r="Q59" s="34" t="s">
        <v>860</v>
      </c>
      <c r="R59" s="34" t="s">
        <v>860</v>
      </c>
      <c r="S59" s="172" t="s">
        <v>860</v>
      </c>
      <c r="T59" s="172" t="s">
        <v>860</v>
      </c>
      <c r="U59" s="172" t="s">
        <v>860</v>
      </c>
      <c r="V59" s="172" t="s">
        <v>860</v>
      </c>
      <c r="W59" s="172" t="s">
        <v>860</v>
      </c>
      <c r="X59" s="172" t="s">
        <v>860</v>
      </c>
      <c r="Y59" s="172" t="s">
        <v>860</v>
      </c>
      <c r="Z59" s="172" t="s">
        <v>860</v>
      </c>
      <c r="AA59" s="172" t="s">
        <v>860</v>
      </c>
      <c r="AB59" s="172" t="s">
        <v>860</v>
      </c>
      <c r="AC59" s="172" t="s">
        <v>860</v>
      </c>
      <c r="AD59" s="172" t="s">
        <v>860</v>
      </c>
      <c r="AE59" s="172"/>
      <c r="AF59" s="172" t="s">
        <v>860</v>
      </c>
      <c r="AG59" s="172" t="s">
        <v>860</v>
      </c>
      <c r="AH59" s="172" t="s">
        <v>860</v>
      </c>
      <c r="AI59" s="172" t="s">
        <v>860</v>
      </c>
      <c r="AJ59" s="172" t="s">
        <v>860</v>
      </c>
      <c r="AK59" s="172" t="s">
        <v>860</v>
      </c>
      <c r="AL59" s="172" t="s">
        <v>860</v>
      </c>
      <c r="AM59" s="172"/>
      <c r="AN59" s="172" t="s">
        <v>860</v>
      </c>
      <c r="AO59" s="172" t="s">
        <v>860</v>
      </c>
      <c r="AP59" s="172"/>
      <c r="AQ59" s="172" t="s">
        <v>860</v>
      </c>
      <c r="AR59" s="52"/>
      <c r="CU59" s="53"/>
      <c r="DB59" s="4"/>
      <c r="DC59" s="4"/>
      <c r="DD59" s="2"/>
      <c r="DE59" s="2"/>
      <c r="DF59" s="185"/>
      <c r="DG59" s="2"/>
      <c r="DH59" s="34"/>
      <c r="DI59" s="34"/>
      <c r="DJ59" s="34"/>
      <c r="DK59" s="34"/>
    </row>
    <row r="60" spans="2:115" x14ac:dyDescent="0.35">
      <c r="B60" s="149">
        <v>2031</v>
      </c>
      <c r="C60" s="4" t="s">
        <v>1022</v>
      </c>
      <c r="D60" s="4"/>
      <c r="E60" s="7" t="s">
        <v>860</v>
      </c>
      <c r="F60" s="185" t="s">
        <v>862</v>
      </c>
      <c r="G60" t="s">
        <v>860</v>
      </c>
      <c r="I60" s="7" t="s">
        <v>225</v>
      </c>
      <c r="J60" s="34" t="s">
        <v>860</v>
      </c>
      <c r="K60" s="34" t="s">
        <v>860</v>
      </c>
      <c r="L60" s="34"/>
      <c r="M60" s="34" t="s">
        <v>860</v>
      </c>
      <c r="N60" s="34"/>
      <c r="O60" s="7" t="s">
        <v>225</v>
      </c>
      <c r="P60" s="34" t="s">
        <v>860</v>
      </c>
      <c r="Q60" s="34" t="s">
        <v>860</v>
      </c>
      <c r="R60" s="34" t="s">
        <v>860</v>
      </c>
      <c r="S60" s="172" t="s">
        <v>860</v>
      </c>
      <c r="T60" s="172" t="s">
        <v>860</v>
      </c>
      <c r="U60" s="172" t="s">
        <v>860</v>
      </c>
      <c r="V60" s="172" t="s">
        <v>860</v>
      </c>
      <c r="W60" s="172" t="s">
        <v>860</v>
      </c>
      <c r="X60" s="172" t="s">
        <v>860</v>
      </c>
      <c r="Y60" s="172" t="s">
        <v>860</v>
      </c>
      <c r="Z60" s="172" t="s">
        <v>860</v>
      </c>
      <c r="AA60" s="172" t="s">
        <v>860</v>
      </c>
      <c r="AB60" s="172" t="s">
        <v>860</v>
      </c>
      <c r="AC60" s="172" t="s">
        <v>860</v>
      </c>
      <c r="AD60" s="172" t="s">
        <v>860</v>
      </c>
      <c r="AE60" s="172"/>
      <c r="AF60" s="172" t="s">
        <v>860</v>
      </c>
      <c r="AG60" s="172" t="s">
        <v>860</v>
      </c>
      <c r="AH60" s="172" t="s">
        <v>860</v>
      </c>
      <c r="AI60" s="172" t="s">
        <v>860</v>
      </c>
      <c r="AJ60" s="172" t="s">
        <v>860</v>
      </c>
      <c r="AK60" s="172" t="s">
        <v>860</v>
      </c>
      <c r="AL60" s="172" t="s">
        <v>860</v>
      </c>
      <c r="AM60" s="172"/>
      <c r="AN60" s="172" t="s">
        <v>860</v>
      </c>
      <c r="AO60" s="172" t="s">
        <v>860</v>
      </c>
      <c r="AP60" s="172"/>
      <c r="AQ60" s="172" t="s">
        <v>860</v>
      </c>
      <c r="AR60" s="52"/>
      <c r="CU60" s="53"/>
      <c r="DB60" s="4"/>
      <c r="DC60" s="4"/>
      <c r="DD60" s="2"/>
      <c r="DE60" s="2"/>
      <c r="DF60" s="185"/>
      <c r="DG60" s="2"/>
      <c r="DH60" s="34"/>
      <c r="DI60" s="34"/>
      <c r="DJ60" s="34"/>
      <c r="DK60" s="34"/>
    </row>
    <row r="61" spans="2:115" x14ac:dyDescent="0.35">
      <c r="B61" s="149">
        <v>2032</v>
      </c>
      <c r="C61" s="4" t="s">
        <v>1022</v>
      </c>
      <c r="D61" s="4"/>
      <c r="E61" s="7" t="s">
        <v>860</v>
      </c>
      <c r="F61" s="185" t="s">
        <v>862</v>
      </c>
      <c r="G61" t="s">
        <v>860</v>
      </c>
      <c r="I61" s="7" t="s">
        <v>225</v>
      </c>
      <c r="J61" s="34" t="s">
        <v>860</v>
      </c>
      <c r="K61" s="34" t="s">
        <v>860</v>
      </c>
      <c r="L61" s="34"/>
      <c r="M61" s="34" t="s">
        <v>860</v>
      </c>
      <c r="N61" s="34"/>
      <c r="O61" s="7" t="s">
        <v>225</v>
      </c>
      <c r="P61" s="34" t="s">
        <v>860</v>
      </c>
      <c r="Q61" s="34" t="s">
        <v>860</v>
      </c>
      <c r="R61" s="34" t="s">
        <v>860</v>
      </c>
      <c r="S61" s="172" t="s">
        <v>860</v>
      </c>
      <c r="T61" s="172" t="s">
        <v>860</v>
      </c>
      <c r="U61" s="172" t="s">
        <v>860</v>
      </c>
      <c r="V61" s="172" t="s">
        <v>860</v>
      </c>
      <c r="W61" s="172" t="s">
        <v>860</v>
      </c>
      <c r="X61" s="172" t="s">
        <v>860</v>
      </c>
      <c r="Y61" s="172" t="s">
        <v>860</v>
      </c>
      <c r="Z61" s="172" t="s">
        <v>860</v>
      </c>
      <c r="AA61" s="172" t="s">
        <v>860</v>
      </c>
      <c r="AB61" s="172" t="s">
        <v>860</v>
      </c>
      <c r="AC61" s="172" t="s">
        <v>860</v>
      </c>
      <c r="AD61" s="172" t="s">
        <v>860</v>
      </c>
      <c r="AE61" s="172"/>
      <c r="AF61" s="172" t="s">
        <v>860</v>
      </c>
      <c r="AG61" s="172" t="s">
        <v>860</v>
      </c>
      <c r="AH61" s="172" t="s">
        <v>860</v>
      </c>
      <c r="AI61" s="172" t="s">
        <v>860</v>
      </c>
      <c r="AJ61" s="172" t="s">
        <v>860</v>
      </c>
      <c r="AK61" s="172" t="s">
        <v>860</v>
      </c>
      <c r="AL61" s="172" t="s">
        <v>860</v>
      </c>
      <c r="AM61" s="172"/>
      <c r="AN61" s="172" t="s">
        <v>860</v>
      </c>
      <c r="AO61" s="172" t="s">
        <v>860</v>
      </c>
      <c r="AP61" s="172"/>
      <c r="AQ61" s="172" t="s">
        <v>860</v>
      </c>
      <c r="AR61" s="52"/>
      <c r="CU61" s="53"/>
      <c r="DB61" s="4"/>
      <c r="DC61" s="4"/>
      <c r="DD61" s="2"/>
      <c r="DE61" s="2"/>
      <c r="DF61" s="185"/>
      <c r="DG61" s="2"/>
      <c r="DH61" s="34"/>
      <c r="DI61" s="34"/>
      <c r="DJ61" s="34"/>
      <c r="DK61" s="34"/>
    </row>
    <row r="62" spans="2:115" x14ac:dyDescent="0.35">
      <c r="B62" s="149">
        <v>2033</v>
      </c>
      <c r="C62" s="4" t="s">
        <v>1022</v>
      </c>
      <c r="D62" s="4"/>
      <c r="E62" s="7" t="s">
        <v>860</v>
      </c>
      <c r="F62" s="185" t="s">
        <v>862</v>
      </c>
      <c r="G62" t="s">
        <v>860</v>
      </c>
      <c r="I62" s="7" t="s">
        <v>225</v>
      </c>
      <c r="J62" s="34" t="s">
        <v>860</v>
      </c>
      <c r="K62" s="34" t="s">
        <v>860</v>
      </c>
      <c r="L62" s="34"/>
      <c r="M62" s="34" t="s">
        <v>860</v>
      </c>
      <c r="N62" s="34"/>
      <c r="O62" s="7" t="s">
        <v>225</v>
      </c>
      <c r="P62" s="34" t="s">
        <v>860</v>
      </c>
      <c r="Q62" s="34" t="s">
        <v>860</v>
      </c>
      <c r="R62" s="34" t="s">
        <v>860</v>
      </c>
      <c r="S62" s="172" t="s">
        <v>860</v>
      </c>
      <c r="T62" s="172" t="s">
        <v>860</v>
      </c>
      <c r="U62" s="172" t="s">
        <v>860</v>
      </c>
      <c r="V62" s="172" t="s">
        <v>860</v>
      </c>
      <c r="W62" s="172" t="s">
        <v>860</v>
      </c>
      <c r="X62" s="172" t="s">
        <v>860</v>
      </c>
      <c r="Y62" s="172" t="s">
        <v>860</v>
      </c>
      <c r="Z62" s="172" t="s">
        <v>860</v>
      </c>
      <c r="AA62" s="172" t="s">
        <v>860</v>
      </c>
      <c r="AB62" s="172" t="s">
        <v>860</v>
      </c>
      <c r="AC62" s="172" t="s">
        <v>860</v>
      </c>
      <c r="AD62" s="172" t="s">
        <v>860</v>
      </c>
      <c r="AE62" s="172"/>
      <c r="AF62" s="172" t="s">
        <v>860</v>
      </c>
      <c r="AG62" s="172" t="s">
        <v>860</v>
      </c>
      <c r="AH62" s="172" t="s">
        <v>860</v>
      </c>
      <c r="AI62" s="172" t="s">
        <v>860</v>
      </c>
      <c r="AJ62" s="172" t="s">
        <v>860</v>
      </c>
      <c r="AK62" s="172" t="s">
        <v>860</v>
      </c>
      <c r="AL62" s="172" t="s">
        <v>860</v>
      </c>
      <c r="AM62" s="172"/>
      <c r="AN62" s="172" t="s">
        <v>860</v>
      </c>
      <c r="AO62" s="172" t="s">
        <v>860</v>
      </c>
      <c r="AP62" s="172"/>
      <c r="AQ62" s="172" t="s">
        <v>860</v>
      </c>
      <c r="AR62" s="52"/>
      <c r="CU62" s="53"/>
      <c r="DB62" s="4"/>
      <c r="DC62" s="4"/>
      <c r="DD62" s="2"/>
      <c r="DE62" s="2"/>
      <c r="DF62" s="185"/>
      <c r="DG62" s="2"/>
      <c r="DH62" s="34"/>
      <c r="DI62" s="34"/>
      <c r="DJ62" s="34"/>
      <c r="DK62" s="34"/>
    </row>
    <row r="63" spans="2:115" x14ac:dyDescent="0.35">
      <c r="B63" s="149">
        <v>2034</v>
      </c>
      <c r="C63" s="4" t="s">
        <v>1022</v>
      </c>
      <c r="D63" s="4"/>
      <c r="E63" s="7" t="s">
        <v>860</v>
      </c>
      <c r="F63" s="185" t="s">
        <v>862</v>
      </c>
      <c r="G63" t="s">
        <v>860</v>
      </c>
      <c r="I63" s="7" t="s">
        <v>225</v>
      </c>
      <c r="J63" s="34" t="s">
        <v>860</v>
      </c>
      <c r="K63" s="34" t="s">
        <v>860</v>
      </c>
      <c r="L63" s="34"/>
      <c r="M63" s="34" t="s">
        <v>860</v>
      </c>
      <c r="N63" s="34"/>
      <c r="O63" s="7" t="s">
        <v>225</v>
      </c>
      <c r="P63" s="34" t="s">
        <v>860</v>
      </c>
      <c r="Q63" s="34" t="s">
        <v>860</v>
      </c>
      <c r="R63" s="34" t="s">
        <v>860</v>
      </c>
      <c r="S63" s="172" t="s">
        <v>860</v>
      </c>
      <c r="T63" s="172" t="s">
        <v>860</v>
      </c>
      <c r="U63" s="172" t="s">
        <v>860</v>
      </c>
      <c r="V63" s="172" t="s">
        <v>860</v>
      </c>
      <c r="W63" s="172" t="s">
        <v>860</v>
      </c>
      <c r="X63" s="172" t="s">
        <v>860</v>
      </c>
      <c r="Y63" s="172" t="s">
        <v>860</v>
      </c>
      <c r="Z63" s="172" t="s">
        <v>860</v>
      </c>
      <c r="AA63" s="172" t="s">
        <v>860</v>
      </c>
      <c r="AB63" s="172" t="s">
        <v>860</v>
      </c>
      <c r="AC63" s="172" t="s">
        <v>860</v>
      </c>
      <c r="AD63" s="172" t="s">
        <v>860</v>
      </c>
      <c r="AE63" s="172"/>
      <c r="AF63" s="172" t="s">
        <v>860</v>
      </c>
      <c r="AG63" s="172" t="s">
        <v>860</v>
      </c>
      <c r="AH63" s="172" t="s">
        <v>860</v>
      </c>
      <c r="AI63" s="172" t="s">
        <v>860</v>
      </c>
      <c r="AJ63" s="172" t="s">
        <v>860</v>
      </c>
      <c r="AK63" s="172" t="s">
        <v>860</v>
      </c>
      <c r="AL63" s="172" t="s">
        <v>860</v>
      </c>
      <c r="AM63" s="172"/>
      <c r="AN63" s="172" t="s">
        <v>860</v>
      </c>
      <c r="AO63" s="172" t="s">
        <v>860</v>
      </c>
      <c r="AP63" s="172"/>
      <c r="AQ63" s="172" t="s">
        <v>860</v>
      </c>
      <c r="AR63" s="52"/>
      <c r="CU63" s="53"/>
      <c r="DB63" s="4"/>
      <c r="DC63" s="4"/>
      <c r="DD63" s="2"/>
      <c r="DE63" s="2"/>
      <c r="DF63" s="185"/>
      <c r="DG63" s="2"/>
      <c r="DH63" s="34"/>
      <c r="DI63" s="34"/>
      <c r="DJ63" s="34"/>
      <c r="DK63" s="34"/>
    </row>
    <row r="64" spans="2:115" x14ac:dyDescent="0.35">
      <c r="B64" s="517">
        <v>2035</v>
      </c>
      <c r="C64" s="657" t="s">
        <v>1022</v>
      </c>
      <c r="D64" s="657"/>
      <c r="E64" s="580" t="s">
        <v>860</v>
      </c>
      <c r="F64" s="520" t="s">
        <v>862</v>
      </c>
      <c r="G64" s="1" t="s">
        <v>860</v>
      </c>
      <c r="H64" s="1"/>
      <c r="I64" s="580" t="s">
        <v>225</v>
      </c>
      <c r="J64" s="230" t="s">
        <v>860</v>
      </c>
      <c r="K64" s="230" t="s">
        <v>860</v>
      </c>
      <c r="L64" s="230"/>
      <c r="M64" s="230" t="s">
        <v>860</v>
      </c>
      <c r="N64" s="230"/>
      <c r="O64" s="580" t="s">
        <v>225</v>
      </c>
      <c r="P64" s="230" t="s">
        <v>860</v>
      </c>
      <c r="Q64" s="230" t="s">
        <v>860</v>
      </c>
      <c r="R64" s="230" t="s">
        <v>860</v>
      </c>
      <c r="S64" s="230" t="s">
        <v>860</v>
      </c>
      <c r="T64" s="230" t="s">
        <v>860</v>
      </c>
      <c r="U64" s="230" t="s">
        <v>860</v>
      </c>
      <c r="V64" s="230" t="s">
        <v>860</v>
      </c>
      <c r="W64" s="230" t="s">
        <v>860</v>
      </c>
      <c r="X64" s="230" t="s">
        <v>860</v>
      </c>
      <c r="Y64" s="230" t="s">
        <v>860</v>
      </c>
      <c r="Z64" s="230" t="s">
        <v>860</v>
      </c>
      <c r="AA64" s="230" t="s">
        <v>860</v>
      </c>
      <c r="AB64" s="230" t="s">
        <v>860</v>
      </c>
      <c r="AC64" s="230" t="s">
        <v>860</v>
      </c>
      <c r="AD64" s="230" t="s">
        <v>860</v>
      </c>
      <c r="AE64" s="230"/>
      <c r="AF64" s="230" t="s">
        <v>860</v>
      </c>
      <c r="AG64" s="230" t="s">
        <v>860</v>
      </c>
      <c r="AH64" s="230" t="s">
        <v>860</v>
      </c>
      <c r="AI64" s="230" t="s">
        <v>860</v>
      </c>
      <c r="AJ64" s="230" t="s">
        <v>860</v>
      </c>
      <c r="AK64" s="230" t="s">
        <v>860</v>
      </c>
      <c r="AL64" s="230" t="s">
        <v>860</v>
      </c>
      <c r="AM64" s="230"/>
      <c r="AN64" s="230" t="s">
        <v>860</v>
      </c>
      <c r="AO64" s="230" t="s">
        <v>860</v>
      </c>
      <c r="AP64" s="230"/>
      <c r="AQ64" s="230" t="s">
        <v>860</v>
      </c>
      <c r="AR64" s="522"/>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738"/>
      <c r="DB64" s="4"/>
      <c r="DC64" s="4"/>
      <c r="DD64" s="2"/>
      <c r="DE64" s="2"/>
      <c r="DF64" s="185"/>
      <c r="DG64" s="2"/>
      <c r="DH64" s="34"/>
      <c r="DI64" s="34"/>
      <c r="DJ64" s="34"/>
      <c r="DK64" s="34"/>
    </row>
    <row r="65" spans="2:115" x14ac:dyDescent="0.35">
      <c r="B65" s="149">
        <v>2036</v>
      </c>
      <c r="C65" s="4" t="s">
        <v>1022</v>
      </c>
      <c r="D65" s="4"/>
      <c r="E65" s="7" t="s">
        <v>860</v>
      </c>
      <c r="F65" s="185" t="s">
        <v>862</v>
      </c>
      <c r="G65" t="s">
        <v>860</v>
      </c>
      <c r="I65" s="7" t="s">
        <v>225</v>
      </c>
      <c r="J65" s="34" t="s">
        <v>860</v>
      </c>
      <c r="K65" s="34" t="s">
        <v>860</v>
      </c>
      <c r="L65" s="34"/>
      <c r="M65" s="34" t="s">
        <v>860</v>
      </c>
      <c r="N65" s="34"/>
      <c r="O65" s="7" t="s">
        <v>225</v>
      </c>
      <c r="P65" s="34" t="s">
        <v>860</v>
      </c>
      <c r="Q65" s="34" t="s">
        <v>860</v>
      </c>
      <c r="R65" s="34" t="s">
        <v>860</v>
      </c>
      <c r="S65" s="172" t="s">
        <v>860</v>
      </c>
      <c r="T65" s="172" t="s">
        <v>860</v>
      </c>
      <c r="U65" s="172" t="s">
        <v>860</v>
      </c>
      <c r="V65" s="172" t="s">
        <v>860</v>
      </c>
      <c r="W65" s="172" t="s">
        <v>860</v>
      </c>
      <c r="X65" s="172" t="s">
        <v>860</v>
      </c>
      <c r="Y65" s="172" t="s">
        <v>860</v>
      </c>
      <c r="Z65" s="172" t="s">
        <v>860</v>
      </c>
      <c r="AA65" s="172" t="s">
        <v>860</v>
      </c>
      <c r="AB65" s="172" t="s">
        <v>860</v>
      </c>
      <c r="AC65" s="172" t="s">
        <v>860</v>
      </c>
      <c r="AD65" s="172" t="s">
        <v>860</v>
      </c>
      <c r="AE65" s="172"/>
      <c r="AF65" s="172" t="s">
        <v>860</v>
      </c>
      <c r="AG65" s="172" t="s">
        <v>860</v>
      </c>
      <c r="AH65" s="172" t="s">
        <v>860</v>
      </c>
      <c r="AI65" s="172" t="s">
        <v>860</v>
      </c>
      <c r="AJ65" s="172" t="s">
        <v>860</v>
      </c>
      <c r="AK65" s="172" t="s">
        <v>860</v>
      </c>
      <c r="AL65" s="172" t="s">
        <v>860</v>
      </c>
      <c r="AM65" s="172"/>
      <c r="AN65" s="172" t="s">
        <v>860</v>
      </c>
      <c r="AO65" s="172" t="s">
        <v>860</v>
      </c>
      <c r="AP65" s="172"/>
      <c r="AQ65" s="172" t="s">
        <v>860</v>
      </c>
      <c r="AR65" s="52"/>
      <c r="CU65" s="53"/>
      <c r="DB65" s="4"/>
      <c r="DC65" s="4"/>
      <c r="DD65" s="2"/>
      <c r="DE65" s="2"/>
      <c r="DF65" s="185"/>
      <c r="DG65" s="2"/>
      <c r="DH65" s="34"/>
      <c r="DI65" s="34"/>
      <c r="DJ65" s="34"/>
      <c r="DK65" s="34"/>
    </row>
    <row r="66" spans="2:115" x14ac:dyDescent="0.35">
      <c r="B66" s="149">
        <v>2037</v>
      </c>
      <c r="C66" s="4" t="s">
        <v>1022</v>
      </c>
      <c r="D66" s="4"/>
      <c r="E66" s="7" t="s">
        <v>860</v>
      </c>
      <c r="F66" s="185" t="s">
        <v>862</v>
      </c>
      <c r="G66" t="s">
        <v>860</v>
      </c>
      <c r="I66" s="7" t="s">
        <v>225</v>
      </c>
      <c r="J66" s="34" t="s">
        <v>860</v>
      </c>
      <c r="K66" s="34" t="s">
        <v>860</v>
      </c>
      <c r="L66" s="34"/>
      <c r="M66" s="34" t="s">
        <v>860</v>
      </c>
      <c r="N66" s="34"/>
      <c r="O66" s="7" t="s">
        <v>225</v>
      </c>
      <c r="P66" s="34" t="s">
        <v>860</v>
      </c>
      <c r="Q66" s="34" t="s">
        <v>860</v>
      </c>
      <c r="R66" s="34" t="s">
        <v>860</v>
      </c>
      <c r="S66" s="172" t="s">
        <v>860</v>
      </c>
      <c r="T66" s="172" t="s">
        <v>860</v>
      </c>
      <c r="U66" s="172" t="s">
        <v>860</v>
      </c>
      <c r="V66" s="172" t="s">
        <v>860</v>
      </c>
      <c r="W66" s="172" t="s">
        <v>860</v>
      </c>
      <c r="X66" s="172" t="s">
        <v>860</v>
      </c>
      <c r="Y66" s="172" t="s">
        <v>860</v>
      </c>
      <c r="Z66" s="172" t="s">
        <v>860</v>
      </c>
      <c r="AA66" s="172" t="s">
        <v>860</v>
      </c>
      <c r="AB66" s="172" t="s">
        <v>860</v>
      </c>
      <c r="AC66" s="172" t="s">
        <v>860</v>
      </c>
      <c r="AD66" s="172" t="s">
        <v>860</v>
      </c>
      <c r="AE66" s="172"/>
      <c r="AF66" s="172" t="s">
        <v>860</v>
      </c>
      <c r="AG66" s="172" t="s">
        <v>860</v>
      </c>
      <c r="AH66" s="172" t="s">
        <v>860</v>
      </c>
      <c r="AI66" s="172" t="s">
        <v>860</v>
      </c>
      <c r="AJ66" s="172" t="s">
        <v>860</v>
      </c>
      <c r="AK66" s="172" t="s">
        <v>860</v>
      </c>
      <c r="AL66" s="172" t="s">
        <v>860</v>
      </c>
      <c r="AM66" s="172"/>
      <c r="AN66" s="172" t="s">
        <v>860</v>
      </c>
      <c r="AO66" s="172" t="s">
        <v>860</v>
      </c>
      <c r="AP66" s="172"/>
      <c r="AQ66" s="172" t="s">
        <v>860</v>
      </c>
      <c r="AR66" s="52"/>
      <c r="CU66" s="53"/>
      <c r="DB66" s="4"/>
      <c r="DC66" s="4"/>
      <c r="DD66" s="2"/>
      <c r="DE66" s="2"/>
      <c r="DF66" s="185"/>
      <c r="DG66" s="2"/>
      <c r="DH66" s="34"/>
      <c r="DI66" s="34"/>
      <c r="DJ66" s="34"/>
      <c r="DK66" s="34"/>
    </row>
    <row r="67" spans="2:115" x14ac:dyDescent="0.35">
      <c r="B67" s="149">
        <v>2038</v>
      </c>
      <c r="C67" s="4" t="s">
        <v>1022</v>
      </c>
      <c r="D67" s="4"/>
      <c r="E67" s="7" t="s">
        <v>860</v>
      </c>
      <c r="F67" s="185" t="s">
        <v>862</v>
      </c>
      <c r="G67" t="s">
        <v>860</v>
      </c>
      <c r="I67" s="7" t="s">
        <v>225</v>
      </c>
      <c r="J67" s="34" t="s">
        <v>860</v>
      </c>
      <c r="K67" s="34" t="s">
        <v>860</v>
      </c>
      <c r="L67" s="34"/>
      <c r="M67" s="34" t="s">
        <v>860</v>
      </c>
      <c r="N67" s="34"/>
      <c r="O67" s="7" t="s">
        <v>225</v>
      </c>
      <c r="P67" s="34" t="s">
        <v>860</v>
      </c>
      <c r="Q67" s="34" t="s">
        <v>860</v>
      </c>
      <c r="R67" s="34" t="s">
        <v>860</v>
      </c>
      <c r="S67" s="172" t="s">
        <v>860</v>
      </c>
      <c r="T67" s="172" t="s">
        <v>860</v>
      </c>
      <c r="U67" s="172" t="s">
        <v>860</v>
      </c>
      <c r="V67" s="172" t="s">
        <v>860</v>
      </c>
      <c r="W67" s="172" t="s">
        <v>860</v>
      </c>
      <c r="X67" s="172" t="s">
        <v>860</v>
      </c>
      <c r="Y67" s="172" t="s">
        <v>860</v>
      </c>
      <c r="Z67" s="172" t="s">
        <v>860</v>
      </c>
      <c r="AA67" s="172" t="s">
        <v>860</v>
      </c>
      <c r="AB67" s="172" t="s">
        <v>860</v>
      </c>
      <c r="AC67" s="172" t="s">
        <v>860</v>
      </c>
      <c r="AD67" s="172" t="s">
        <v>860</v>
      </c>
      <c r="AE67" s="172"/>
      <c r="AF67" s="172" t="s">
        <v>860</v>
      </c>
      <c r="AG67" s="172" t="s">
        <v>860</v>
      </c>
      <c r="AH67" s="172" t="s">
        <v>860</v>
      </c>
      <c r="AI67" s="172" t="s">
        <v>860</v>
      </c>
      <c r="AJ67" s="172" t="s">
        <v>860</v>
      </c>
      <c r="AK67" s="172" t="s">
        <v>860</v>
      </c>
      <c r="AL67" s="172" t="s">
        <v>860</v>
      </c>
      <c r="AM67" s="172"/>
      <c r="AN67" s="172" t="s">
        <v>860</v>
      </c>
      <c r="AO67" s="172" t="s">
        <v>860</v>
      </c>
      <c r="AP67" s="172"/>
      <c r="AQ67" s="172" t="s">
        <v>860</v>
      </c>
      <c r="AR67" s="52"/>
      <c r="CU67" s="53"/>
      <c r="DB67" s="4"/>
      <c r="DC67" s="4"/>
      <c r="DD67" s="2"/>
      <c r="DE67" s="2"/>
      <c r="DF67" s="185"/>
      <c r="DG67" s="2"/>
      <c r="DH67" s="34"/>
      <c r="DI67" s="34"/>
      <c r="DJ67" s="34"/>
      <c r="DK67" s="34"/>
    </row>
    <row r="68" spans="2:115" x14ac:dyDescent="0.35">
      <c r="B68" s="149">
        <v>2039</v>
      </c>
      <c r="C68" s="4" t="s">
        <v>1022</v>
      </c>
      <c r="D68" s="4"/>
      <c r="E68" s="7" t="s">
        <v>860</v>
      </c>
      <c r="F68" s="185" t="s">
        <v>862</v>
      </c>
      <c r="G68" t="s">
        <v>860</v>
      </c>
      <c r="I68" s="7" t="s">
        <v>225</v>
      </c>
      <c r="J68" s="34" t="s">
        <v>860</v>
      </c>
      <c r="K68" s="34" t="s">
        <v>860</v>
      </c>
      <c r="L68" s="34"/>
      <c r="M68" s="34" t="s">
        <v>860</v>
      </c>
      <c r="N68" s="34"/>
      <c r="O68" s="7" t="s">
        <v>225</v>
      </c>
      <c r="P68" s="34" t="s">
        <v>860</v>
      </c>
      <c r="Q68" s="34" t="s">
        <v>860</v>
      </c>
      <c r="R68" s="34" t="s">
        <v>860</v>
      </c>
      <c r="S68" s="172" t="s">
        <v>860</v>
      </c>
      <c r="T68" s="172" t="s">
        <v>860</v>
      </c>
      <c r="U68" s="172" t="s">
        <v>860</v>
      </c>
      <c r="V68" s="172" t="s">
        <v>860</v>
      </c>
      <c r="W68" s="172" t="s">
        <v>860</v>
      </c>
      <c r="X68" s="172" t="s">
        <v>860</v>
      </c>
      <c r="Y68" s="172" t="s">
        <v>860</v>
      </c>
      <c r="Z68" s="172" t="s">
        <v>860</v>
      </c>
      <c r="AA68" s="172" t="s">
        <v>860</v>
      </c>
      <c r="AB68" s="172" t="s">
        <v>860</v>
      </c>
      <c r="AC68" s="172" t="s">
        <v>860</v>
      </c>
      <c r="AD68" s="172" t="s">
        <v>860</v>
      </c>
      <c r="AE68" s="172"/>
      <c r="AF68" s="172" t="s">
        <v>860</v>
      </c>
      <c r="AG68" s="172" t="s">
        <v>860</v>
      </c>
      <c r="AH68" s="172" t="s">
        <v>860</v>
      </c>
      <c r="AI68" s="172" t="s">
        <v>860</v>
      </c>
      <c r="AJ68" s="172" t="s">
        <v>860</v>
      </c>
      <c r="AK68" s="172" t="s">
        <v>860</v>
      </c>
      <c r="AL68" s="172" t="s">
        <v>860</v>
      </c>
      <c r="AM68" s="172"/>
      <c r="AN68" s="172" t="s">
        <v>860</v>
      </c>
      <c r="AO68" s="172" t="s">
        <v>860</v>
      </c>
      <c r="AP68" s="172"/>
      <c r="AQ68" s="172" t="s">
        <v>860</v>
      </c>
      <c r="AR68" s="52"/>
      <c r="CU68" s="53"/>
      <c r="DB68" s="4"/>
      <c r="DC68" s="4"/>
      <c r="DD68" s="2"/>
      <c r="DE68" s="2"/>
      <c r="DF68" s="185"/>
      <c r="DG68" s="2"/>
      <c r="DH68" s="34"/>
      <c r="DI68" s="34"/>
      <c r="DJ68" s="34"/>
      <c r="DK68" s="34"/>
    </row>
    <row r="69" spans="2:115" x14ac:dyDescent="0.35">
      <c r="B69" s="149">
        <v>2040</v>
      </c>
      <c r="C69" s="4" t="s">
        <v>1022</v>
      </c>
      <c r="D69" s="4"/>
      <c r="E69" s="7" t="s">
        <v>860</v>
      </c>
      <c r="F69" s="185" t="s">
        <v>862</v>
      </c>
      <c r="G69" t="s">
        <v>860</v>
      </c>
      <c r="I69" s="7" t="s">
        <v>225</v>
      </c>
      <c r="J69" s="34" t="s">
        <v>860</v>
      </c>
      <c r="K69" s="34" t="s">
        <v>860</v>
      </c>
      <c r="L69" s="34"/>
      <c r="M69" s="34" t="s">
        <v>860</v>
      </c>
      <c r="N69" s="34"/>
      <c r="O69" s="7" t="s">
        <v>225</v>
      </c>
      <c r="P69" s="34" t="s">
        <v>860</v>
      </c>
      <c r="Q69" s="34" t="s">
        <v>860</v>
      </c>
      <c r="R69" s="34" t="s">
        <v>860</v>
      </c>
      <c r="S69" s="172" t="s">
        <v>860</v>
      </c>
      <c r="T69" s="172" t="s">
        <v>860</v>
      </c>
      <c r="U69" s="172" t="s">
        <v>860</v>
      </c>
      <c r="V69" s="172" t="s">
        <v>860</v>
      </c>
      <c r="W69" s="974" t="s">
        <v>1179</v>
      </c>
      <c r="X69" s="172" t="s">
        <v>860</v>
      </c>
      <c r="Y69" s="172" t="s">
        <v>860</v>
      </c>
      <c r="Z69" s="172" t="s">
        <v>860</v>
      </c>
      <c r="AA69" s="172" t="s">
        <v>860</v>
      </c>
      <c r="AB69" s="172" t="s">
        <v>860</v>
      </c>
      <c r="AC69" s="172" t="s">
        <v>860</v>
      </c>
      <c r="AD69" s="172" t="s">
        <v>860</v>
      </c>
      <c r="AE69" s="172"/>
      <c r="AF69" s="172" t="s">
        <v>860</v>
      </c>
      <c r="AG69" s="172" t="s">
        <v>860</v>
      </c>
      <c r="AH69" s="172" t="s">
        <v>860</v>
      </c>
      <c r="AI69" s="172" t="s">
        <v>860</v>
      </c>
      <c r="AJ69" s="172" t="s">
        <v>860</v>
      </c>
      <c r="AK69" s="172" t="s">
        <v>860</v>
      </c>
      <c r="AL69" s="172" t="s">
        <v>860</v>
      </c>
      <c r="AM69" s="172"/>
      <c r="AN69" s="172" t="s">
        <v>860</v>
      </c>
      <c r="AO69" s="172" t="s">
        <v>860</v>
      </c>
      <c r="AP69" s="172"/>
      <c r="AQ69" s="172" t="s">
        <v>860</v>
      </c>
      <c r="AR69" s="52"/>
      <c r="CU69" s="53"/>
      <c r="DB69" s="4"/>
      <c r="DC69" s="4"/>
      <c r="DD69" s="2"/>
      <c r="DE69" s="2"/>
      <c r="DF69" s="185"/>
      <c r="DG69" s="2"/>
      <c r="DH69" s="34"/>
      <c r="DI69" s="34"/>
      <c r="DJ69" s="34"/>
      <c r="DK69" s="34"/>
    </row>
    <row r="70" spans="2:115" x14ac:dyDescent="0.35">
      <c r="B70" s="149">
        <v>2041</v>
      </c>
      <c r="C70" s="4" t="s">
        <v>1022</v>
      </c>
      <c r="D70" s="4"/>
      <c r="E70" s="7" t="s">
        <v>860</v>
      </c>
      <c r="F70" s="185" t="s">
        <v>862</v>
      </c>
      <c r="G70" t="s">
        <v>860</v>
      </c>
      <c r="I70" s="7" t="s">
        <v>225</v>
      </c>
      <c r="J70" s="34" t="s">
        <v>860</v>
      </c>
      <c r="K70" s="34" t="s">
        <v>860</v>
      </c>
      <c r="L70" s="34"/>
      <c r="M70" s="34" t="s">
        <v>860</v>
      </c>
      <c r="N70" s="34"/>
      <c r="O70" s="7" t="s">
        <v>225</v>
      </c>
      <c r="P70" s="34" t="s">
        <v>860</v>
      </c>
      <c r="Q70" s="34" t="s">
        <v>860</v>
      </c>
      <c r="R70" s="34" t="s">
        <v>860</v>
      </c>
      <c r="S70" s="172" t="s">
        <v>860</v>
      </c>
      <c r="T70" s="172" t="s">
        <v>860</v>
      </c>
      <c r="U70" s="172" t="s">
        <v>860</v>
      </c>
      <c r="V70" s="172" t="s">
        <v>860</v>
      </c>
      <c r="W70" s="172" t="s">
        <v>860</v>
      </c>
      <c r="X70" s="172" t="s">
        <v>860</v>
      </c>
      <c r="Y70" s="172" t="s">
        <v>860</v>
      </c>
      <c r="Z70" s="172" t="s">
        <v>860</v>
      </c>
      <c r="AA70" s="172" t="s">
        <v>860</v>
      </c>
      <c r="AB70" s="172" t="s">
        <v>860</v>
      </c>
      <c r="AC70" s="172" t="s">
        <v>860</v>
      </c>
      <c r="AD70" s="172" t="s">
        <v>860</v>
      </c>
      <c r="AE70" s="172"/>
      <c r="AF70" s="172" t="s">
        <v>860</v>
      </c>
      <c r="AG70" s="172" t="s">
        <v>860</v>
      </c>
      <c r="AH70" s="172" t="s">
        <v>860</v>
      </c>
      <c r="AI70" s="172" t="s">
        <v>860</v>
      </c>
      <c r="AJ70" s="172" t="s">
        <v>860</v>
      </c>
      <c r="AK70" s="172" t="s">
        <v>860</v>
      </c>
      <c r="AL70" s="172" t="s">
        <v>860</v>
      </c>
      <c r="AM70" s="172"/>
      <c r="AN70" s="172" t="s">
        <v>860</v>
      </c>
      <c r="AO70" s="172" t="s">
        <v>860</v>
      </c>
      <c r="AP70" s="172"/>
      <c r="AQ70" s="172" t="s">
        <v>860</v>
      </c>
      <c r="AR70" s="52"/>
      <c r="CU70" s="53"/>
      <c r="DB70" s="4"/>
      <c r="DC70" s="4"/>
      <c r="DD70" s="2"/>
      <c r="DE70" s="2"/>
      <c r="DF70" s="185"/>
      <c r="DG70" s="2"/>
      <c r="DH70" s="34"/>
      <c r="DI70" s="34"/>
      <c r="DJ70" s="34"/>
      <c r="DK70" s="34"/>
    </row>
    <row r="71" spans="2:115" x14ac:dyDescent="0.35">
      <c r="B71" s="149">
        <v>2042</v>
      </c>
      <c r="C71" s="4" t="s">
        <v>1022</v>
      </c>
      <c r="D71" s="4"/>
      <c r="E71" s="7" t="s">
        <v>860</v>
      </c>
      <c r="F71" s="185" t="s">
        <v>862</v>
      </c>
      <c r="G71" t="s">
        <v>860</v>
      </c>
      <c r="I71" s="7" t="s">
        <v>225</v>
      </c>
      <c r="J71" s="34" t="s">
        <v>860</v>
      </c>
      <c r="K71" s="34" t="s">
        <v>860</v>
      </c>
      <c r="L71" s="34"/>
      <c r="M71" s="34" t="s">
        <v>860</v>
      </c>
      <c r="N71" s="34"/>
      <c r="O71" s="7" t="s">
        <v>225</v>
      </c>
      <c r="P71" s="34" t="s">
        <v>860</v>
      </c>
      <c r="Q71" s="34" t="s">
        <v>860</v>
      </c>
      <c r="R71" s="34" t="s">
        <v>860</v>
      </c>
      <c r="S71" s="172" t="s">
        <v>860</v>
      </c>
      <c r="T71" s="172" t="s">
        <v>860</v>
      </c>
      <c r="U71" s="172" t="s">
        <v>860</v>
      </c>
      <c r="V71" s="172" t="s">
        <v>860</v>
      </c>
      <c r="W71" s="172" t="s">
        <v>860</v>
      </c>
      <c r="X71" s="172" t="s">
        <v>860</v>
      </c>
      <c r="Y71" s="172" t="s">
        <v>860</v>
      </c>
      <c r="Z71" s="172" t="s">
        <v>860</v>
      </c>
      <c r="AA71" s="172" t="s">
        <v>860</v>
      </c>
      <c r="AB71" s="172" t="s">
        <v>860</v>
      </c>
      <c r="AC71" s="172" t="s">
        <v>860</v>
      </c>
      <c r="AD71" s="172" t="s">
        <v>860</v>
      </c>
      <c r="AE71" s="172"/>
      <c r="AF71" s="172" t="s">
        <v>860</v>
      </c>
      <c r="AG71" s="172" t="s">
        <v>860</v>
      </c>
      <c r="AH71" s="172" t="s">
        <v>860</v>
      </c>
      <c r="AI71" s="172" t="s">
        <v>860</v>
      </c>
      <c r="AJ71" s="172" t="s">
        <v>860</v>
      </c>
      <c r="AK71" s="172" t="s">
        <v>860</v>
      </c>
      <c r="AL71" s="172" t="s">
        <v>860</v>
      </c>
      <c r="AM71" s="172"/>
      <c r="AN71" s="172" t="s">
        <v>860</v>
      </c>
      <c r="AO71" s="172" t="s">
        <v>860</v>
      </c>
      <c r="AP71" s="172"/>
      <c r="AQ71" s="172" t="s">
        <v>860</v>
      </c>
      <c r="AR71" s="52"/>
      <c r="CU71" s="53"/>
      <c r="DB71" s="4"/>
      <c r="DC71" s="4"/>
      <c r="DD71" s="2"/>
      <c r="DE71" s="2"/>
      <c r="DF71" s="185"/>
      <c r="DG71" s="2"/>
      <c r="DH71" s="34"/>
      <c r="DI71" s="34"/>
      <c r="DJ71" s="34"/>
      <c r="DK71" s="34"/>
    </row>
    <row r="72" spans="2:115" x14ac:dyDescent="0.35">
      <c r="B72" s="149">
        <v>2043</v>
      </c>
      <c r="C72" s="4" t="s">
        <v>1022</v>
      </c>
      <c r="D72" s="4"/>
      <c r="E72" s="7" t="s">
        <v>860</v>
      </c>
      <c r="F72" s="185" t="s">
        <v>862</v>
      </c>
      <c r="G72" t="s">
        <v>860</v>
      </c>
      <c r="I72" s="7" t="s">
        <v>225</v>
      </c>
      <c r="J72" s="34" t="s">
        <v>860</v>
      </c>
      <c r="K72" s="34" t="s">
        <v>860</v>
      </c>
      <c r="L72" s="34"/>
      <c r="M72" s="34" t="s">
        <v>860</v>
      </c>
      <c r="N72" s="34"/>
      <c r="O72" s="7" t="s">
        <v>225</v>
      </c>
      <c r="P72" s="34" t="s">
        <v>860</v>
      </c>
      <c r="Q72" s="34" t="s">
        <v>860</v>
      </c>
      <c r="R72" s="34" t="s">
        <v>860</v>
      </c>
      <c r="S72" s="172" t="s">
        <v>860</v>
      </c>
      <c r="T72" s="172" t="s">
        <v>860</v>
      </c>
      <c r="U72" s="172" t="s">
        <v>860</v>
      </c>
      <c r="V72" s="172" t="s">
        <v>860</v>
      </c>
      <c r="W72" s="172" t="s">
        <v>860</v>
      </c>
      <c r="X72" s="172" t="s">
        <v>860</v>
      </c>
      <c r="Y72" s="172" t="s">
        <v>860</v>
      </c>
      <c r="Z72" s="172" t="s">
        <v>860</v>
      </c>
      <c r="AA72" s="172" t="s">
        <v>860</v>
      </c>
      <c r="AB72" s="172" t="s">
        <v>860</v>
      </c>
      <c r="AC72" s="172" t="s">
        <v>860</v>
      </c>
      <c r="AD72" s="172" t="s">
        <v>860</v>
      </c>
      <c r="AE72" s="172"/>
      <c r="AF72" s="172" t="s">
        <v>860</v>
      </c>
      <c r="AG72" s="172" t="s">
        <v>860</v>
      </c>
      <c r="AH72" s="172" t="s">
        <v>860</v>
      </c>
      <c r="AI72" s="172" t="s">
        <v>860</v>
      </c>
      <c r="AJ72" s="172" t="s">
        <v>860</v>
      </c>
      <c r="AK72" s="172" t="s">
        <v>860</v>
      </c>
      <c r="AL72" s="172" t="s">
        <v>860</v>
      </c>
      <c r="AM72" s="172"/>
      <c r="AN72" s="172" t="s">
        <v>860</v>
      </c>
      <c r="AO72" s="172" t="s">
        <v>860</v>
      </c>
      <c r="AP72" s="172"/>
      <c r="AQ72" s="172" t="s">
        <v>860</v>
      </c>
      <c r="AR72" s="52"/>
      <c r="CU72" s="53"/>
      <c r="DB72" s="4"/>
      <c r="DC72" s="4"/>
      <c r="DD72" s="2"/>
      <c r="DE72" s="2"/>
      <c r="DF72" s="185"/>
      <c r="DG72" s="2"/>
      <c r="DH72" s="34"/>
      <c r="DI72" s="34"/>
      <c r="DJ72" s="34"/>
      <c r="DK72" s="34"/>
    </row>
    <row r="73" spans="2:115" x14ac:dyDescent="0.35">
      <c r="B73" s="149">
        <v>2044</v>
      </c>
      <c r="C73" s="4" t="s">
        <v>1022</v>
      </c>
      <c r="D73" s="4"/>
      <c r="E73" s="7" t="s">
        <v>860</v>
      </c>
      <c r="F73" s="185" t="s">
        <v>862</v>
      </c>
      <c r="G73" t="s">
        <v>860</v>
      </c>
      <c r="I73" s="7" t="s">
        <v>225</v>
      </c>
      <c r="J73" s="34" t="s">
        <v>860</v>
      </c>
      <c r="K73" s="34" t="s">
        <v>860</v>
      </c>
      <c r="L73" s="34"/>
      <c r="M73" s="34" t="s">
        <v>860</v>
      </c>
      <c r="N73" s="34"/>
      <c r="O73" s="7" t="s">
        <v>225</v>
      </c>
      <c r="P73" s="34" t="s">
        <v>860</v>
      </c>
      <c r="Q73" s="34" t="s">
        <v>860</v>
      </c>
      <c r="R73" s="34" t="s">
        <v>860</v>
      </c>
      <c r="S73" s="172" t="s">
        <v>860</v>
      </c>
      <c r="T73" s="172" t="s">
        <v>860</v>
      </c>
      <c r="U73" s="172" t="s">
        <v>860</v>
      </c>
      <c r="V73" s="172" t="s">
        <v>860</v>
      </c>
      <c r="W73" s="172" t="s">
        <v>860</v>
      </c>
      <c r="X73" s="172" t="s">
        <v>860</v>
      </c>
      <c r="Y73" s="172" t="s">
        <v>860</v>
      </c>
      <c r="Z73" s="172" t="s">
        <v>860</v>
      </c>
      <c r="AA73" s="172" t="s">
        <v>860</v>
      </c>
      <c r="AB73" s="172" t="s">
        <v>860</v>
      </c>
      <c r="AC73" s="172" t="s">
        <v>860</v>
      </c>
      <c r="AD73" s="172" t="s">
        <v>860</v>
      </c>
      <c r="AE73" s="172"/>
      <c r="AF73" s="172" t="s">
        <v>860</v>
      </c>
      <c r="AG73" s="172" t="s">
        <v>860</v>
      </c>
      <c r="AH73" s="172" t="s">
        <v>860</v>
      </c>
      <c r="AI73" s="172" t="s">
        <v>860</v>
      </c>
      <c r="AJ73" s="172" t="s">
        <v>860</v>
      </c>
      <c r="AK73" s="172" t="s">
        <v>860</v>
      </c>
      <c r="AL73" s="172" t="s">
        <v>860</v>
      </c>
      <c r="AM73" s="172"/>
      <c r="AN73" s="172" t="s">
        <v>860</v>
      </c>
      <c r="AO73" s="172" t="s">
        <v>860</v>
      </c>
      <c r="AP73" s="172"/>
      <c r="AQ73" s="172" t="s">
        <v>860</v>
      </c>
      <c r="AR73" s="52"/>
      <c r="CU73" s="53"/>
      <c r="DB73" s="4"/>
      <c r="DC73" s="4"/>
      <c r="DD73" s="2"/>
      <c r="DE73" s="2"/>
      <c r="DF73" s="185"/>
      <c r="DG73" s="2"/>
      <c r="DH73" s="34"/>
      <c r="DI73" s="34"/>
      <c r="DJ73" s="34"/>
      <c r="DK73" s="34"/>
    </row>
    <row r="74" spans="2:115" ht="15" thickBot="1" x14ac:dyDescent="0.4">
      <c r="B74" s="267">
        <v>2045</v>
      </c>
      <c r="C74" s="133" t="s">
        <v>1022</v>
      </c>
      <c r="D74" s="133"/>
      <c r="E74" s="167" t="s">
        <v>860</v>
      </c>
      <c r="F74" s="186" t="s">
        <v>862</v>
      </c>
      <c r="G74" s="175" t="s">
        <v>860</v>
      </c>
      <c r="H74" s="175"/>
      <c r="I74" s="167" t="s">
        <v>225</v>
      </c>
      <c r="J74" s="135" t="s">
        <v>860</v>
      </c>
      <c r="K74" s="135" t="s">
        <v>860</v>
      </c>
      <c r="L74" s="135"/>
      <c r="M74" s="135" t="s">
        <v>860</v>
      </c>
      <c r="N74" s="135"/>
      <c r="O74" s="167" t="s">
        <v>225</v>
      </c>
      <c r="P74" s="135" t="s">
        <v>860</v>
      </c>
      <c r="Q74" s="135" t="s">
        <v>860</v>
      </c>
      <c r="R74" s="135" t="s">
        <v>860</v>
      </c>
      <c r="S74" s="135" t="s">
        <v>860</v>
      </c>
      <c r="T74" s="135" t="s">
        <v>860</v>
      </c>
      <c r="U74" s="135" t="s">
        <v>860</v>
      </c>
      <c r="V74" s="135" t="s">
        <v>860</v>
      </c>
      <c r="W74" s="135" t="s">
        <v>860</v>
      </c>
      <c r="X74" s="135" t="s">
        <v>860</v>
      </c>
      <c r="Y74" s="135" t="s">
        <v>860</v>
      </c>
      <c r="Z74" s="135" t="s">
        <v>860</v>
      </c>
      <c r="AA74" s="135" t="s">
        <v>860</v>
      </c>
      <c r="AB74" s="135" t="s">
        <v>860</v>
      </c>
      <c r="AC74" s="135" t="s">
        <v>860</v>
      </c>
      <c r="AD74" s="135" t="s">
        <v>860</v>
      </c>
      <c r="AE74" s="135"/>
      <c r="AF74" s="135" t="s">
        <v>860</v>
      </c>
      <c r="AG74" s="135" t="s">
        <v>860</v>
      </c>
      <c r="AH74" s="135" t="s">
        <v>860</v>
      </c>
      <c r="AI74" s="135" t="s">
        <v>860</v>
      </c>
      <c r="AJ74" s="135" t="s">
        <v>860</v>
      </c>
      <c r="AK74" s="135" t="s">
        <v>860</v>
      </c>
      <c r="AL74" s="135" t="s">
        <v>860</v>
      </c>
      <c r="AM74" s="135"/>
      <c r="AN74" s="135" t="s">
        <v>860</v>
      </c>
      <c r="AO74" s="135" t="s">
        <v>860</v>
      </c>
      <c r="AP74" s="135"/>
      <c r="AQ74" s="135" t="s">
        <v>860</v>
      </c>
      <c r="AR74" s="89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175"/>
      <c r="BR74" s="175"/>
      <c r="BS74" s="175"/>
      <c r="BT74" s="175"/>
      <c r="BU74" s="175"/>
      <c r="BV74" s="175"/>
      <c r="BW74" s="175"/>
      <c r="BX74" s="175"/>
      <c r="BY74" s="175"/>
      <c r="BZ74" s="175"/>
      <c r="CA74" s="175"/>
      <c r="CB74" s="175"/>
      <c r="CC74" s="175"/>
      <c r="CD74" s="175"/>
      <c r="CE74" s="175"/>
      <c r="CF74" s="175"/>
      <c r="CG74" s="175"/>
      <c r="CH74" s="175"/>
      <c r="CI74" s="175"/>
      <c r="CJ74" s="175"/>
      <c r="CK74" s="175"/>
      <c r="CL74" s="175"/>
      <c r="CM74" s="175"/>
      <c r="CN74" s="175"/>
      <c r="CO74" s="175"/>
      <c r="CP74" s="175"/>
      <c r="CQ74" s="175"/>
      <c r="CR74" s="175"/>
      <c r="CS74" s="175"/>
      <c r="CT74" s="175"/>
      <c r="CU74" s="737"/>
      <c r="DB74" s="4"/>
      <c r="DC74" s="4"/>
      <c r="DD74" s="2"/>
      <c r="DE74" s="2"/>
      <c r="DF74" s="185"/>
      <c r="DG74" s="2"/>
      <c r="DH74" s="34"/>
      <c r="DI74" s="34"/>
      <c r="DJ74" s="34"/>
      <c r="DK74" s="34"/>
    </row>
    <row r="75" spans="2:115" ht="15" thickTop="1" x14ac:dyDescent="0.35"/>
  </sheetData>
  <phoneticPr fontId="4" type="noConversion"/>
  <hyperlinks>
    <hyperlink ref="CZ2" r:id="rId1" xr:uid="{5501E885-0FE0-4D80-904B-90C7B0A683DD}"/>
    <hyperlink ref="E51" r:id="rId2" xr:uid="{13E58669-2F5F-4C61-88DB-53BBD44C4DBB}"/>
    <hyperlink ref="CV53" r:id="rId3" xr:uid="{7D39ECB9-B5C7-47D6-AFB8-9F18FA65145B}"/>
    <hyperlink ref="G52" r:id="rId4" xr:uid="{10BA1E2E-CF0B-44FB-AA31-A462DC68DBF8}"/>
    <hyperlink ref="Y51" r:id="rId5" xr:uid="{987E1E0E-48B0-4164-89A2-097333AEF4EC}"/>
    <hyperlink ref="C53" r:id="rId6" xr:uid="{3E42C49B-3D0C-4009-BDEA-EF348BAF9B25}"/>
    <hyperlink ref="G51" r:id="rId7" xr:uid="{1EB189AF-286B-4E73-A340-C87B1E3BC4DA}"/>
    <hyperlink ref="CV49" r:id="rId8" xr:uid="{F6662922-DFBC-4D23-B66D-6DD6BCB4ADF1}"/>
    <hyperlink ref="E53" r:id="rId9" xr:uid="{5775626A-62E5-4062-ACF8-6EE452327B0F}"/>
    <hyperlink ref="AT54" r:id="rId10" xr:uid="{C5928008-FAFB-4C34-A40E-96167E3DC610}"/>
    <hyperlink ref="DC4" r:id="rId11" xr:uid="{77072EF7-4DDB-436B-81ED-6B1BBE511ED8}"/>
    <hyperlink ref="V55" r:id="rId12" xr:uid="{0FA8F8D4-B978-4EA1-A9ED-10230A913637}"/>
    <hyperlink ref="V54" r:id="rId13" xr:uid="{44C6AE90-B3C4-4607-B830-FD79B5EB3962}"/>
    <hyperlink ref="W69" r:id="rId14" xr:uid="{B6DA3C49-1C86-44B7-9D03-BDAFB290160D}"/>
  </hyperlinks>
  <pageMargins left="0.7" right="0.7" top="0.75" bottom="0.75" header="0.3" footer="0.3"/>
  <pageSetup paperSize="9" orientation="portrait" verticalDpi="0" r:id="rId15"/>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A5FAE-94BF-4A38-82B8-59C537A36532}">
  <dimension ref="A1:AH75"/>
  <sheetViews>
    <sheetView zoomScaleNormal="100" workbookViewId="0">
      <pane xSplit="6" ySplit="11" topLeftCell="G12" activePane="bottomRight" state="frozen"/>
      <selection pane="topRight" activeCell="G1" sqref="G1"/>
      <selection pane="bottomLeft" activeCell="A12" sqref="A12"/>
      <selection pane="bottomRight" activeCell="Z2" sqref="Z2"/>
    </sheetView>
  </sheetViews>
  <sheetFormatPr defaultRowHeight="14.5" x14ac:dyDescent="0.35"/>
  <cols>
    <col min="1" max="1" width="5.7265625" customWidth="1"/>
    <col min="2" max="2" width="8" customWidth="1"/>
    <col min="3" max="3" width="9.90625" customWidth="1"/>
    <col min="4" max="4" width="11" customWidth="1"/>
    <col min="5" max="5" width="8.1796875" customWidth="1"/>
    <col min="6" max="6" width="10.08984375" customWidth="1"/>
    <col min="7" max="7" width="9.453125" customWidth="1"/>
    <col min="8" max="8" width="12.26953125" customWidth="1"/>
    <col min="9" max="9" width="13" customWidth="1"/>
    <col min="10" max="11" width="12.1796875" customWidth="1"/>
    <col min="12" max="14" width="12.26953125" customWidth="1"/>
    <col min="15" max="16" width="13.90625" customWidth="1"/>
    <col min="17" max="17" width="11.90625" customWidth="1"/>
    <col min="18" max="18" width="11.453125" customWidth="1"/>
    <col min="19" max="19" width="8.81640625" customWidth="1"/>
    <col min="20" max="21" width="12" customWidth="1"/>
    <col min="22" max="22" width="14.1796875" customWidth="1"/>
    <col min="23" max="23" width="12" customWidth="1"/>
    <col min="24" max="24" width="9.54296875" customWidth="1"/>
    <col min="25" max="25" width="18.36328125" customWidth="1"/>
    <col min="26" max="26" width="15" customWidth="1"/>
    <col min="27" max="28" width="15.36328125" customWidth="1"/>
    <col min="29" max="29" width="5.08984375" customWidth="1"/>
    <col min="30" max="30" width="6.54296875" customWidth="1"/>
    <col min="31" max="31" width="22.453125" customWidth="1"/>
    <col min="32" max="32" width="7.08984375" customWidth="1"/>
    <col min="33" max="33" width="8.08984375" customWidth="1"/>
    <col min="34" max="34" width="4.90625" customWidth="1"/>
    <col min="36" max="36" width="9.6328125" customWidth="1"/>
    <col min="37" max="37" width="11.7265625" customWidth="1"/>
    <col min="38" max="38" width="8.26953125" customWidth="1"/>
    <col min="39" max="39" width="10.26953125" customWidth="1"/>
    <col min="41" max="41" width="12.36328125" customWidth="1"/>
    <col min="42" max="42" width="12" customWidth="1"/>
    <col min="43" max="43" width="10.08984375" customWidth="1"/>
    <col min="44" max="44" width="10.36328125" customWidth="1"/>
    <col min="46" max="46" width="11.26953125" customWidth="1"/>
    <col min="47" max="47" width="10.08984375" customWidth="1"/>
    <col min="48" max="48" width="10.7265625" customWidth="1"/>
    <col min="49" max="49" width="9.7265625" customWidth="1"/>
  </cols>
  <sheetData>
    <row r="1" spans="1:34" ht="28.5" x14ac:dyDescent="0.65">
      <c r="A1" s="9" t="str">
        <f>AI_Models!A1</f>
        <v>Path towards AGI &amp; artificial humans - How close are AIs and robotics from being able to do any work that humans can do? #74/101</v>
      </c>
    </row>
    <row r="2" spans="1:34" ht="15.5" x14ac:dyDescent="0.35">
      <c r="A2" s="10" t="str">
        <f>KeyChips!A2</f>
        <v>Proprietary. © H. Mathiesen. This material can be used by others free of charge provided that the author H. Mathiesen is attributed and a clickable link is made visible to the location of used material on www.hmexperience.dk</v>
      </c>
      <c r="AF2">
        <v>24</v>
      </c>
      <c r="AG2" t="s">
        <v>389</v>
      </c>
    </row>
    <row r="3" spans="1:34" ht="15.5" x14ac:dyDescent="0.35">
      <c r="A3" s="414" t="str">
        <f>AI_Models!A3</f>
        <v>Links to all sources are available in sources table below</v>
      </c>
      <c r="B3" s="415"/>
      <c r="C3" s="415"/>
      <c r="D3" s="415"/>
      <c r="E3" s="415"/>
      <c r="F3" s="415"/>
      <c r="G3" s="69">
        <f>Calc_Moores_Law!G8</f>
        <v>4.6602372183207397E-2</v>
      </c>
      <c r="H3" s="118">
        <f>AI_Supercomputers!K4</f>
        <v>2.0129870129870131</v>
      </c>
      <c r="I3" t="s">
        <v>192</v>
      </c>
      <c r="X3">
        <v>0.05</v>
      </c>
      <c r="AB3" t="s">
        <v>388</v>
      </c>
      <c r="AF3">
        <v>320</v>
      </c>
      <c r="AG3" t="s">
        <v>449</v>
      </c>
    </row>
    <row r="4" spans="1:34" ht="24" thickBot="1" x14ac:dyDescent="0.6">
      <c r="B4" s="30" t="s">
        <v>936</v>
      </c>
      <c r="C4" s="31"/>
      <c r="D4" s="31"/>
      <c r="E4" s="31"/>
      <c r="F4" s="31"/>
      <c r="G4" s="31"/>
      <c r="H4" s="31"/>
      <c r="I4" s="31"/>
      <c r="J4" s="31"/>
      <c r="K4" s="31"/>
      <c r="L4" s="31"/>
      <c r="M4" s="31"/>
      <c r="N4" s="31"/>
      <c r="O4" s="31"/>
      <c r="P4" s="31"/>
      <c r="Q4" s="31"/>
      <c r="R4" s="31"/>
      <c r="S4" s="31"/>
      <c r="T4" s="31"/>
      <c r="U4" s="31"/>
      <c r="V4" s="31"/>
      <c r="W4" s="31"/>
      <c r="X4" s="31"/>
      <c r="Y4" s="31"/>
      <c r="Z4" s="31"/>
      <c r="AA4" s="31"/>
      <c r="AE4" s="2">
        <v>1000</v>
      </c>
      <c r="AF4" t="s">
        <v>393</v>
      </c>
      <c r="AG4" t="s">
        <v>392</v>
      </c>
    </row>
    <row r="5" spans="1:34" ht="15" thickTop="1" x14ac:dyDescent="0.35">
      <c r="B5" s="176" t="s">
        <v>7</v>
      </c>
      <c r="C5" s="168" t="s">
        <v>448</v>
      </c>
      <c r="D5" s="77" t="str">
        <f>GlobalChipProd_TFLOPS_GB_RAM!E5</f>
        <v># of new AI</v>
      </c>
      <c r="E5" s="168" t="s">
        <v>878</v>
      </c>
      <c r="F5" s="168" t="s">
        <v>446</v>
      </c>
      <c r="G5" s="168" t="s">
        <v>876</v>
      </c>
      <c r="H5" s="168" t="s">
        <v>927</v>
      </c>
      <c r="I5" s="168" t="s">
        <v>883</v>
      </c>
      <c r="J5" s="168" t="s">
        <v>887</v>
      </c>
      <c r="K5" s="168" t="s">
        <v>3138</v>
      </c>
      <c r="L5" s="168" t="s">
        <v>390</v>
      </c>
      <c r="M5" s="168" t="s">
        <v>390</v>
      </c>
      <c r="N5" s="168" t="s">
        <v>3143</v>
      </c>
      <c r="O5" s="168" t="s">
        <v>2982</v>
      </c>
      <c r="P5" s="168" t="s">
        <v>2982</v>
      </c>
      <c r="Q5" s="168" t="s">
        <v>929</v>
      </c>
      <c r="R5" s="168" t="s">
        <v>929</v>
      </c>
      <c r="S5" s="168" t="s">
        <v>558</v>
      </c>
      <c r="T5" s="168" t="s">
        <v>560</v>
      </c>
      <c r="U5" s="168" t="s">
        <v>560</v>
      </c>
      <c r="V5" s="168" t="s">
        <v>3142</v>
      </c>
      <c r="W5" s="168" t="s">
        <v>560</v>
      </c>
      <c r="X5" s="168" t="s">
        <v>452</v>
      </c>
      <c r="Y5" s="168" t="s">
        <v>2632</v>
      </c>
      <c r="Z5" s="19" t="s">
        <v>2633</v>
      </c>
      <c r="AA5" s="19" t="s">
        <v>2592</v>
      </c>
      <c r="AB5" s="237" t="s">
        <v>2571</v>
      </c>
      <c r="AE5" s="2">
        <v>1000000</v>
      </c>
      <c r="AF5" t="s">
        <v>318</v>
      </c>
      <c r="AG5" t="s">
        <v>371</v>
      </c>
    </row>
    <row r="6" spans="1:34" x14ac:dyDescent="0.35">
      <c r="B6" s="177"/>
      <c r="C6" s="178" t="s">
        <v>381</v>
      </c>
      <c r="D6" s="120" t="str">
        <f>GlobalChipProd_TFLOPS_GB_RAM!E6</f>
        <v>chipsets sold</v>
      </c>
      <c r="E6" s="13" t="s">
        <v>877</v>
      </c>
      <c r="F6" s="178" t="s">
        <v>447</v>
      </c>
      <c r="G6" s="178" t="s">
        <v>930</v>
      </c>
      <c r="H6" s="179" t="s">
        <v>928</v>
      </c>
      <c r="I6" s="179" t="s">
        <v>884</v>
      </c>
      <c r="J6" s="179" t="s">
        <v>387</v>
      </c>
      <c r="K6" s="179" t="s">
        <v>3139</v>
      </c>
      <c r="L6" s="179" t="s">
        <v>391</v>
      </c>
      <c r="M6" s="179" t="s">
        <v>391</v>
      </c>
      <c r="N6" s="179" t="s">
        <v>3144</v>
      </c>
      <c r="O6" s="179" t="s">
        <v>2983</v>
      </c>
      <c r="P6" s="179" t="s">
        <v>2983</v>
      </c>
      <c r="Q6" s="180" t="s">
        <v>921</v>
      </c>
      <c r="R6" s="180" t="s">
        <v>921</v>
      </c>
      <c r="S6" s="179" t="s">
        <v>559</v>
      </c>
      <c r="T6" s="179" t="s">
        <v>561</v>
      </c>
      <c r="U6" s="179" t="s">
        <v>561</v>
      </c>
      <c r="V6" s="179" t="s">
        <v>3145</v>
      </c>
      <c r="W6" s="179" t="s">
        <v>561</v>
      </c>
      <c r="X6" s="179" t="s">
        <v>387</v>
      </c>
      <c r="Y6" s="180" t="s">
        <v>2631</v>
      </c>
      <c r="Z6" s="656" t="s">
        <v>2634</v>
      </c>
      <c r="AA6" s="656" t="s">
        <v>2575</v>
      </c>
      <c r="AB6" s="286" t="s">
        <v>2575</v>
      </c>
      <c r="AE6" s="2">
        <v>1000000000</v>
      </c>
      <c r="AF6" t="s">
        <v>231</v>
      </c>
      <c r="AG6" t="s">
        <v>230</v>
      </c>
    </row>
    <row r="7" spans="1:34" x14ac:dyDescent="0.35">
      <c r="B7" s="177"/>
      <c r="C7" s="178" t="s">
        <v>550</v>
      </c>
      <c r="D7" s="120" t="str">
        <f>GlobalChipProd_TFLOPS_GB_RAM!E7</f>
        <v>globally</v>
      </c>
      <c r="E7" s="178" t="s">
        <v>865</v>
      </c>
      <c r="F7" s="178" t="s">
        <v>445</v>
      </c>
      <c r="G7" s="179" t="s">
        <v>865</v>
      </c>
      <c r="H7" s="180" t="s">
        <v>386</v>
      </c>
      <c r="I7" s="180" t="s">
        <v>885</v>
      </c>
      <c r="J7" s="180" t="s">
        <v>886</v>
      </c>
      <c r="K7" s="180" t="s">
        <v>3140</v>
      </c>
      <c r="L7" s="180" t="s">
        <v>395</v>
      </c>
      <c r="M7" s="180" t="s">
        <v>395</v>
      </c>
      <c r="N7" s="180" t="s">
        <v>3147</v>
      </c>
      <c r="O7" s="180" t="s">
        <v>387</v>
      </c>
      <c r="P7" s="180" t="s">
        <v>387</v>
      </c>
      <c r="Q7" s="179" t="s">
        <v>450</v>
      </c>
      <c r="R7" s="179" t="s">
        <v>450</v>
      </c>
      <c r="S7" s="180" t="s">
        <v>387</v>
      </c>
      <c r="T7" s="180" t="s">
        <v>562</v>
      </c>
      <c r="U7" s="180" t="s">
        <v>562</v>
      </c>
      <c r="V7" s="180" t="s">
        <v>3146</v>
      </c>
      <c r="W7" s="180" t="s">
        <v>3007</v>
      </c>
      <c r="X7" s="180" t="s">
        <v>445</v>
      </c>
      <c r="Y7" s="666" t="s">
        <v>2001</v>
      </c>
      <c r="Z7" s="144" t="s">
        <v>2631</v>
      </c>
      <c r="AA7" s="144" t="s">
        <v>2000</v>
      </c>
      <c r="AB7" s="938" t="s">
        <v>2001</v>
      </c>
      <c r="AE7" s="2">
        <v>1000000000000</v>
      </c>
      <c r="AF7" t="s">
        <v>127</v>
      </c>
      <c r="AG7" t="s">
        <v>124</v>
      </c>
    </row>
    <row r="8" spans="1:34" ht="15" thickBot="1" x14ac:dyDescent="0.4">
      <c r="B8" s="181"/>
      <c r="C8" s="320" t="s">
        <v>937</v>
      </c>
      <c r="D8" s="320"/>
      <c r="E8" s="320"/>
      <c r="F8" s="321"/>
      <c r="G8" s="320" t="s">
        <v>923</v>
      </c>
      <c r="H8" s="322" t="s">
        <v>551</v>
      </c>
      <c r="I8" s="322" t="s">
        <v>889</v>
      </c>
      <c r="J8" s="322" t="s">
        <v>889</v>
      </c>
      <c r="K8" s="322" t="s">
        <v>3141</v>
      </c>
      <c r="L8" s="320" t="s">
        <v>2980</v>
      </c>
      <c r="M8" s="320" t="s">
        <v>2981</v>
      </c>
      <c r="N8" s="320" t="s">
        <v>2981</v>
      </c>
      <c r="O8" s="323" t="s">
        <v>2980</v>
      </c>
      <c r="P8" s="323" t="s">
        <v>2981</v>
      </c>
      <c r="Q8" s="335" t="s">
        <v>2984</v>
      </c>
      <c r="R8" s="335" t="s">
        <v>2985</v>
      </c>
      <c r="S8" s="323" t="s">
        <v>45</v>
      </c>
      <c r="T8" s="323" t="s">
        <v>2980</v>
      </c>
      <c r="U8" s="323" t="s">
        <v>2981</v>
      </c>
      <c r="V8" s="323" t="s">
        <v>2981</v>
      </c>
      <c r="W8" s="323" t="s">
        <v>2981</v>
      </c>
      <c r="X8" s="324"/>
      <c r="Y8" s="324"/>
      <c r="Z8" s="324"/>
      <c r="AA8" s="324"/>
      <c r="AB8" s="325"/>
      <c r="AC8" s="8" t="s">
        <v>32</v>
      </c>
      <c r="AE8" s="2">
        <v>1000000000000000</v>
      </c>
      <c r="AF8" t="s">
        <v>146</v>
      </c>
      <c r="AG8" t="s">
        <v>145</v>
      </c>
    </row>
    <row r="9" spans="1:34" ht="15" thickTop="1" x14ac:dyDescent="0.35">
      <c r="B9" s="306" t="s">
        <v>915</v>
      </c>
      <c r="C9" s="307"/>
      <c r="D9" s="356">
        <f>((D19/D13)^(1/($B19-$B13)))-1</f>
        <v>0.56600883805725521</v>
      </c>
      <c r="E9" s="356">
        <f>((E19/E13)^(1/($B19-$B13)))-1</f>
        <v>-4.0735172960455479E-3</v>
      </c>
      <c r="F9" s="356">
        <f t="shared" ref="F9:AB9" si="0">((F19/F13)^(1/($B19-$B13)))-1</f>
        <v>0.55962967396966867</v>
      </c>
      <c r="G9" s="356">
        <f t="shared" si="0"/>
        <v>0.29091831925428391</v>
      </c>
      <c r="H9" s="356">
        <f t="shared" si="0"/>
        <v>1.0215894971622261</v>
      </c>
      <c r="I9" s="356">
        <f t="shared" si="0"/>
        <v>1.4110636794991476</v>
      </c>
      <c r="J9" s="356">
        <f t="shared" si="0"/>
        <v>1.4110636794991476</v>
      </c>
      <c r="K9" s="356"/>
      <c r="L9" s="356">
        <f>((L19/L13)^(1/($B19-$B13)))-1</f>
        <v>2.6349285083649976E-2</v>
      </c>
      <c r="M9" s="356">
        <f t="shared" ref="M9" si="1">((M19/M13)^(1/($B19-$B13)))-1</f>
        <v>2.6349285083649976E-2</v>
      </c>
      <c r="N9" s="356"/>
      <c r="O9" s="364" t="s">
        <v>45</v>
      </c>
      <c r="P9" s="364" t="s">
        <v>45</v>
      </c>
      <c r="Q9" s="364" t="s">
        <v>45</v>
      </c>
      <c r="R9" s="364" t="s">
        <v>45</v>
      </c>
      <c r="S9" s="356">
        <f t="shared" si="0"/>
        <v>-3.6507516001003881E-2</v>
      </c>
      <c r="T9" s="356">
        <f t="shared" si="0"/>
        <v>-1.1120177864160308E-2</v>
      </c>
      <c r="U9" s="356">
        <f t="shared" ref="U9" si="2">((U19/U13)^(1/($B19-$B13)))-1</f>
        <v>-1.1120177864160308E-2</v>
      </c>
      <c r="V9" s="356"/>
      <c r="W9" s="364" t="s">
        <v>45</v>
      </c>
      <c r="X9" s="356">
        <f t="shared" si="0"/>
        <v>1.3230417336403932</v>
      </c>
      <c r="Y9" s="356">
        <f t="shared" ref="Y9" si="3">((Y19/Y13)^(1/($B19-$B13)))-1</f>
        <v>3.3776775471271225E-2</v>
      </c>
      <c r="Z9" s="364" t="s">
        <v>45</v>
      </c>
      <c r="AA9" s="364" t="s">
        <v>45</v>
      </c>
      <c r="AB9" s="358">
        <f t="shared" si="0"/>
        <v>3.3487209320430589E-2</v>
      </c>
      <c r="AE9" s="2">
        <v>1E+18</v>
      </c>
      <c r="AF9" t="s">
        <v>128</v>
      </c>
      <c r="AG9" t="s">
        <v>125</v>
      </c>
    </row>
    <row r="10" spans="1:34" x14ac:dyDescent="0.35">
      <c r="B10" s="302" t="s">
        <v>916</v>
      </c>
      <c r="C10" s="312"/>
      <c r="D10" s="298">
        <f>((D35/D19)^(1/($B35-$B19)))-1</f>
        <v>0.25</v>
      </c>
      <c r="E10" s="298">
        <f>((E35/E19)^(1/($B35-$B19)))-1</f>
        <v>-0.10106698312216267</v>
      </c>
      <c r="F10" s="298">
        <f t="shared" ref="F10:AB10" si="4">((F35/F19)^(1/($B35-$B19)))-1</f>
        <v>0.12366627109729667</v>
      </c>
      <c r="G10" s="298">
        <f t="shared" si="4"/>
        <v>4.6602372183207397E-2</v>
      </c>
      <c r="H10" s="298">
        <f t="shared" si="4"/>
        <v>0.30825296522900913</v>
      </c>
      <c r="I10" s="298">
        <f t="shared" si="4"/>
        <v>0.32189330278806172</v>
      </c>
      <c r="J10" s="298">
        <f t="shared" si="4"/>
        <v>0.32189330278806172</v>
      </c>
      <c r="K10" s="298"/>
      <c r="L10" s="298">
        <f>((L35/L19)^(1/($B35-$B19)))-1</f>
        <v>7.5125519357893467E-2</v>
      </c>
      <c r="M10" s="298">
        <f t="shared" ref="M10" si="5">((M35/M19)^(1/($B35-$B19)))-1</f>
        <v>0.31476409383918713</v>
      </c>
      <c r="N10" s="298"/>
      <c r="O10" s="363" t="s">
        <v>45</v>
      </c>
      <c r="P10" s="363" t="s">
        <v>45</v>
      </c>
      <c r="Q10" s="363" t="s">
        <v>45</v>
      </c>
      <c r="R10" s="363" t="s">
        <v>45</v>
      </c>
      <c r="S10" s="298">
        <f t="shared" si="4"/>
        <v>-5.9460684465159286E-2</v>
      </c>
      <c r="T10" s="298">
        <f t="shared" si="4"/>
        <v>1.119782009091308E-2</v>
      </c>
      <c r="U10" s="298">
        <f t="shared" ref="U10" si="6">((U35/U19)^(1/($B35-$B19)))-1</f>
        <v>0.23658732090929391</v>
      </c>
      <c r="V10" s="298"/>
      <c r="W10" s="363" t="s">
        <v>45</v>
      </c>
      <c r="X10" s="298">
        <f t="shared" si="4"/>
        <v>0.24329262221437364</v>
      </c>
      <c r="Y10" s="298">
        <f t="shared" ref="Y10" si="7">((Y35/Y19)^(1/($B35-$B19)))-1</f>
        <v>0.31491704063609594</v>
      </c>
      <c r="Z10" s="363" t="s">
        <v>45</v>
      </c>
      <c r="AA10" s="363" t="s">
        <v>45</v>
      </c>
      <c r="AB10" s="360">
        <f t="shared" si="4"/>
        <v>7.5190413011286594E-2</v>
      </c>
      <c r="AG10" s="14" t="s">
        <v>126</v>
      </c>
      <c r="AH10" t="s">
        <v>45</v>
      </c>
    </row>
    <row r="11" spans="1:34" ht="15" thickBot="1" x14ac:dyDescent="0.4">
      <c r="B11" s="66" t="s">
        <v>931</v>
      </c>
      <c r="C11" s="80"/>
      <c r="D11" s="87">
        <f>((D35/D13)^(1/($B35-$B13)))-1</f>
        <v>0.32924704265048765</v>
      </c>
      <c r="E11" s="87">
        <f>((E35/E13)^(1/($B35-$B13)))-1</f>
        <v>-7.5592029093209612E-2</v>
      </c>
      <c r="F11" s="87">
        <f t="shared" ref="F11:AB11" si="8">((F35/F13)^(1/($B35-$B13)))-1</f>
        <v>0.2287665615303891</v>
      </c>
      <c r="G11" s="87">
        <f t="shared" si="8"/>
        <v>0.10823489088237515</v>
      </c>
      <c r="H11" s="87">
        <f t="shared" si="8"/>
        <v>0.47311795126748279</v>
      </c>
      <c r="I11" s="87">
        <f t="shared" si="8"/>
        <v>0.55733329669669196</v>
      </c>
      <c r="J11" s="87">
        <f t="shared" si="8"/>
        <v>0.55733329669669196</v>
      </c>
      <c r="K11" s="87"/>
      <c r="L11" s="87">
        <f>((L35/L13)^(1/($B35-$B13)))-1</f>
        <v>6.1597535075448517E-2</v>
      </c>
      <c r="M11" s="87">
        <f t="shared" ref="M11" si="9">((M35/M13)^(1/($B35-$B13)))-1</f>
        <v>0.22889646191197333</v>
      </c>
      <c r="N11" s="87"/>
      <c r="O11" s="252" t="s">
        <v>45</v>
      </c>
      <c r="P11" s="252" t="s">
        <v>45</v>
      </c>
      <c r="Q11" s="252" t="s">
        <v>45</v>
      </c>
      <c r="R11" s="252" t="s">
        <v>45</v>
      </c>
      <c r="S11" s="87">
        <f t="shared" si="8"/>
        <v>-5.325551419680663E-2</v>
      </c>
      <c r="T11" s="87">
        <f t="shared" si="8"/>
        <v>5.061612474942967E-3</v>
      </c>
      <c r="U11" s="87">
        <f t="shared" ref="U11" si="10">((U35/U13)^(1/($B35-$B13)))-1</f>
        <v>0.16345094893821477</v>
      </c>
      <c r="V11" s="87"/>
      <c r="W11" s="252" t="s">
        <v>45</v>
      </c>
      <c r="X11" s="87">
        <f t="shared" si="8"/>
        <v>0.47439671120530158</v>
      </c>
      <c r="Y11" s="87">
        <f t="shared" ref="Y11" si="11">((Y35/Y13)^(1/($B35-$B13)))-1</f>
        <v>0.23141971933745453</v>
      </c>
      <c r="Z11" s="252" t="s">
        <v>45</v>
      </c>
      <c r="AA11" s="252" t="s">
        <v>45</v>
      </c>
      <c r="AB11" s="90">
        <f t="shared" si="8"/>
        <v>6.3652715440579266E-2</v>
      </c>
      <c r="AG11" s="137" t="s">
        <v>2657</v>
      </c>
    </row>
    <row r="12" spans="1:34" ht="15" thickTop="1" x14ac:dyDescent="0.35">
      <c r="B12" s="23">
        <v>2022</v>
      </c>
      <c r="C12" s="266" t="s">
        <v>45</v>
      </c>
      <c r="D12" s="262" t="s">
        <v>45</v>
      </c>
      <c r="E12" s="262" t="s">
        <v>45</v>
      </c>
      <c r="F12" s="268">
        <v>15</v>
      </c>
      <c r="G12" s="269" t="s">
        <v>45</v>
      </c>
      <c r="H12" s="270" t="s">
        <v>45</v>
      </c>
      <c r="I12" s="270" t="s">
        <v>45</v>
      </c>
      <c r="J12" s="269" t="s">
        <v>45</v>
      </c>
      <c r="K12" s="269"/>
      <c r="L12" s="262">
        <f>Q46</f>
        <v>28500</v>
      </c>
      <c r="M12" s="262">
        <f>L12</f>
        <v>28500</v>
      </c>
      <c r="N12" s="262"/>
      <c r="O12" s="269" t="s">
        <v>45</v>
      </c>
      <c r="P12" s="269" t="s">
        <v>45</v>
      </c>
      <c r="Q12" s="285" t="s">
        <v>45</v>
      </c>
      <c r="R12" s="285"/>
      <c r="S12" s="271">
        <v>0.05</v>
      </c>
      <c r="T12" s="268">
        <f>((L12*$AE$6)*$S12)/$AE$6</f>
        <v>1425</v>
      </c>
      <c r="U12" s="268">
        <f>((M12*$AE$6)*$S12)/$AE$6</f>
        <v>1425</v>
      </c>
      <c r="V12" s="268"/>
      <c r="W12" s="261"/>
      <c r="X12" s="272" t="s">
        <v>45</v>
      </c>
      <c r="Y12" s="1024" t="str">
        <f>GlobalChipProd_TFLOPS_GB_RAM!AN11</f>
        <v>-</v>
      </c>
      <c r="Z12" s="272" t="s">
        <v>45</v>
      </c>
      <c r="AA12" s="272" t="s">
        <v>45</v>
      </c>
      <c r="AB12" s="287">
        <f>AA46</f>
        <v>100560</v>
      </c>
      <c r="AD12" s="123"/>
      <c r="AF12" s="285" t="s">
        <v>45</v>
      </c>
    </row>
    <row r="13" spans="1:34" x14ac:dyDescent="0.35">
      <c r="B13" s="23">
        <v>2023</v>
      </c>
      <c r="C13" s="261" t="str">
        <f>GlobalChipProd_TFLOPS_GB_RAM!C12</f>
        <v>-</v>
      </c>
      <c r="D13" s="258">
        <v>550000</v>
      </c>
      <c r="E13" s="259">
        <f>GlobalChipProd_TFLOPS_GB_RAM!F12</f>
        <v>56363.63636363636</v>
      </c>
      <c r="F13" s="259">
        <v>31</v>
      </c>
      <c r="G13" s="258">
        <f>KeyChips!T12</f>
        <v>700</v>
      </c>
      <c r="H13" s="258">
        <f t="shared" ref="H13:H40" si="12">(D13*G13*H$3)/AE$5</f>
        <v>775</v>
      </c>
      <c r="I13" s="258">
        <f>SUM(H12:H13)</f>
        <v>775</v>
      </c>
      <c r="J13" s="258">
        <f t="shared" ref="J13:J35" si="13">(I13*AF$2*AF$3)/AE$5</f>
        <v>5.952</v>
      </c>
      <c r="K13" s="258"/>
      <c r="L13" s="258">
        <f>L12*(1+Q13)</f>
        <v>29230.189844958652</v>
      </c>
      <c r="M13" s="258">
        <f>M12*(1+R13)</f>
        <v>29230.189844958652</v>
      </c>
      <c r="N13" s="258"/>
      <c r="O13" s="257">
        <f t="shared" ref="O13:O34" si="14">J13/L13</f>
        <v>2.0362508870350513E-4</v>
      </c>
      <c r="P13" s="257">
        <f>J13/M13</f>
        <v>2.0362508870350513E-4</v>
      </c>
      <c r="Q13" s="282">
        <f>Q47</f>
        <v>2.5620696314338609E-2</v>
      </c>
      <c r="R13" s="282">
        <f>Q13</f>
        <v>2.5620696314338609E-2</v>
      </c>
      <c r="S13" s="273">
        <f>S12</f>
        <v>0.05</v>
      </c>
      <c r="T13" s="259">
        <f t="shared" ref="T13:T35" si="15">((L13*AE$6)*S13)/AE$6</f>
        <v>1461.5094922479327</v>
      </c>
      <c r="U13" s="268">
        <f t="shared" ref="U13:U35" si="16">((M13*$AE$6)*$S13)/$AE$6</f>
        <v>1461.5094922479327</v>
      </c>
      <c r="V13" s="268"/>
      <c r="W13" s="266">
        <f>U13/Y13</f>
        <v>1.4074294584180875E-2</v>
      </c>
      <c r="X13" s="274">
        <f t="shared" ref="X13:X35" si="17">((J13*AE$6)*S13)/AE$6</f>
        <v>0.29759999999999998</v>
      </c>
      <c r="Y13" s="268">
        <f>GlobalChipProd_TFLOPS_GB_RAM!AN12</f>
        <v>103842.46851637095</v>
      </c>
      <c r="Z13" s="1026" t="s">
        <v>45</v>
      </c>
      <c r="AA13" s="282">
        <f>AA47</f>
        <v>3.2641884693381806E-2</v>
      </c>
      <c r="AB13" s="287">
        <f>AB12*(1+AA13)</f>
        <v>103842.46792476648</v>
      </c>
      <c r="AF13" s="282">
        <f>AF47</f>
        <v>0</v>
      </c>
    </row>
    <row r="14" spans="1:34" x14ac:dyDescent="0.35">
      <c r="B14" s="23">
        <v>2024</v>
      </c>
      <c r="C14" s="263">
        <f>GlobalChipProd_TFLOPS_GB_RAM!C13</f>
        <v>2.6363636363636362</v>
      </c>
      <c r="D14" s="258">
        <f>D13*(1+C14)</f>
        <v>2000000</v>
      </c>
      <c r="E14" s="259">
        <f>GlobalChipProd_TFLOPS_GB_RAM!F13</f>
        <v>33000</v>
      </c>
      <c r="F14" s="259">
        <f t="shared" ref="F14:F34" si="18">(D14*E14)/AE$6</f>
        <v>66</v>
      </c>
      <c r="G14" s="258">
        <f>KeyChips!T12</f>
        <v>700</v>
      </c>
      <c r="H14" s="258">
        <f t="shared" si="12"/>
        <v>2818.1818181818185</v>
      </c>
      <c r="I14" s="258">
        <f>SUM(H12:H14)</f>
        <v>3593.1818181818185</v>
      </c>
      <c r="J14" s="258">
        <f t="shared" si="13"/>
        <v>27.595636363636366</v>
      </c>
      <c r="K14" s="258"/>
      <c r="L14" s="258">
        <f t="shared" ref="L14:L35" si="19">L13*(1+Q14)</f>
        <v>29979.087662186801</v>
      </c>
      <c r="M14" s="258">
        <f t="shared" ref="M14:M35" si="20">M13*(1+R14)</f>
        <v>29979.087662186801</v>
      </c>
      <c r="N14" s="258"/>
      <c r="O14" s="257">
        <f t="shared" si="14"/>
        <v>9.2049620303966996E-4</v>
      </c>
      <c r="P14" s="257">
        <f t="shared" ref="P14:P35" si="21">J14/M14</f>
        <v>9.2049620303966996E-4</v>
      </c>
      <c r="Q14" s="282">
        <f>Q13</f>
        <v>2.5620696314338609E-2</v>
      </c>
      <c r="R14" s="282">
        <f t="shared" ref="R14:R19" si="22">Q14</f>
        <v>2.5620696314338609E-2</v>
      </c>
      <c r="S14" s="273">
        <f t="shared" ref="S14:S40" si="23">S13</f>
        <v>0.05</v>
      </c>
      <c r="T14" s="259">
        <f t="shared" si="15"/>
        <v>1498.9543831093401</v>
      </c>
      <c r="U14" s="268">
        <f t="shared" si="16"/>
        <v>1498.9543831093401</v>
      </c>
      <c r="V14" s="268"/>
      <c r="W14" s="266">
        <f t="shared" ref="W14:W35" si="24">U14/Y14</f>
        <v>1.3978599332177453E-2</v>
      </c>
      <c r="X14" s="274">
        <f t="shared" si="17"/>
        <v>1.3797818181818184</v>
      </c>
      <c r="Y14" s="268">
        <f>GlobalChipProd_TFLOPS_GB_RAM!AN13</f>
        <v>107232.08724202322</v>
      </c>
      <c r="Z14" s="282">
        <f>(Y14-Y13)/Y13</f>
        <v>3.2641931322326845E-2</v>
      </c>
      <c r="AA14" s="282">
        <f>AA13</f>
        <v>3.2641884693381806E-2</v>
      </c>
      <c r="AB14" s="287">
        <f>AB13*(1+AA14)</f>
        <v>107232.0817890429</v>
      </c>
      <c r="AF14" s="282">
        <f>AF13</f>
        <v>0</v>
      </c>
    </row>
    <row r="15" spans="1:34" x14ac:dyDescent="0.35">
      <c r="B15" s="23">
        <v>2025</v>
      </c>
      <c r="C15" s="263">
        <f>GlobalChipProd_TFLOPS_GB_RAM!C14</f>
        <v>0</v>
      </c>
      <c r="D15" s="258">
        <f t="shared" ref="D15:D34" si="25">D14*(1+C15)</f>
        <v>2000000</v>
      </c>
      <c r="E15" s="259">
        <f>GlobalChipProd_TFLOPS_GB_RAM!F14</f>
        <v>65000</v>
      </c>
      <c r="F15" s="259">
        <f t="shared" si="18"/>
        <v>130</v>
      </c>
      <c r="G15" s="258">
        <f>KeyChips!T17</f>
        <v>2700</v>
      </c>
      <c r="H15" s="258">
        <f t="shared" si="12"/>
        <v>10870.129870129871</v>
      </c>
      <c r="I15" s="258">
        <f>SUM(H12:H15)</f>
        <v>14463.311688311689</v>
      </c>
      <c r="J15" s="258">
        <f t="shared" si="13"/>
        <v>111.07823376623377</v>
      </c>
      <c r="K15" s="1175">
        <v>1</v>
      </c>
      <c r="L15" s="258">
        <f t="shared" si="19"/>
        <v>30747.172762960625</v>
      </c>
      <c r="M15" s="258">
        <f t="shared" si="20"/>
        <v>30747.172762960625</v>
      </c>
      <c r="N15" s="1175">
        <v>1</v>
      </c>
      <c r="O15" s="257">
        <f t="shared" si="14"/>
        <v>3.6126324401456324E-3</v>
      </c>
      <c r="P15" s="257">
        <f t="shared" si="21"/>
        <v>3.6126324401456324E-3</v>
      </c>
      <c r="Q15" s="282">
        <f>Q14</f>
        <v>2.5620696314338609E-2</v>
      </c>
      <c r="R15" s="282">
        <f t="shared" si="22"/>
        <v>2.5620696314338609E-2</v>
      </c>
      <c r="S15" s="273">
        <v>4.4999999999999998E-2</v>
      </c>
      <c r="T15" s="259">
        <f t="shared" si="15"/>
        <v>1383.6227743332281</v>
      </c>
      <c r="U15" s="268">
        <f t="shared" si="16"/>
        <v>1383.6227743332281</v>
      </c>
      <c r="V15" s="1175">
        <v>1</v>
      </c>
      <c r="W15" s="266">
        <f t="shared" si="24"/>
        <v>1.2495194689211155E-2</v>
      </c>
      <c r="X15" s="259">
        <f t="shared" si="17"/>
        <v>4.9985205194805191</v>
      </c>
      <c r="Y15" s="268">
        <f>GlobalChipProd_TFLOPS_GB_RAM!AN14</f>
        <v>110732.39023061423</v>
      </c>
      <c r="Z15" s="282">
        <f t="shared" ref="Z15:Z35" si="26">(Y15-Y14)/Y14</f>
        <v>3.2642309579322189E-2</v>
      </c>
      <c r="AA15" s="282">
        <f t="shared" ref="AA15:AA40" si="27">AA14</f>
        <v>3.2641884693381806E-2</v>
      </c>
      <c r="AB15" s="287">
        <f t="shared" ref="AB15:AB35" si="28">AB14*(1+AA15)</f>
        <v>110732.33903823212</v>
      </c>
      <c r="AF15" s="282">
        <f>AF14</f>
        <v>0</v>
      </c>
    </row>
    <row r="16" spans="1:34" x14ac:dyDescent="0.35">
      <c r="B16" s="149">
        <v>2026</v>
      </c>
      <c r="C16" s="4">
        <f>GlobalChipProd_TFLOPS_GB_RAM!C15</f>
        <v>0.6</v>
      </c>
      <c r="D16" s="2">
        <f t="shared" si="25"/>
        <v>3200000</v>
      </c>
      <c r="E16" s="185">
        <f>GlobalChipProd_TFLOPS_GB_RAM!F15</f>
        <v>62000</v>
      </c>
      <c r="F16" s="184">
        <f t="shared" si="18"/>
        <v>198.4</v>
      </c>
      <c r="G16" s="2">
        <f>G15*(1+G$3)</f>
        <v>2825.8264048946598</v>
      </c>
      <c r="H16" s="2">
        <f t="shared" si="12"/>
        <v>18202.725932827943</v>
      </c>
      <c r="I16" s="2">
        <f>SUM(H12:H16)</f>
        <v>32666.037621139632</v>
      </c>
      <c r="J16" s="2">
        <f t="shared" si="13"/>
        <v>250.87516893035237</v>
      </c>
      <c r="K16" s="83">
        <f>K15*(1+(J16-J15)/J15)</f>
        <v>2.2585448149844001</v>
      </c>
      <c r="L16" s="2">
        <f t="shared" si="19"/>
        <v>31534.936738844943</v>
      </c>
      <c r="M16" s="2">
        <f t="shared" si="20"/>
        <v>31534.936738844943</v>
      </c>
      <c r="N16" s="83">
        <f>N15*(1+(M16-M15)/M15)</f>
        <v>1.0256206963143386</v>
      </c>
      <c r="O16" s="69">
        <f t="shared" si="14"/>
        <v>7.9554676455501714E-3</v>
      </c>
      <c r="P16" s="69">
        <f t="shared" si="21"/>
        <v>7.9554676455501714E-3</v>
      </c>
      <c r="Q16" s="56">
        <f>Q15</f>
        <v>2.5620696314338609E-2</v>
      </c>
      <c r="R16" s="56">
        <f t="shared" si="22"/>
        <v>2.5620696314338609E-2</v>
      </c>
      <c r="S16" s="188">
        <f>S15</f>
        <v>4.4999999999999998E-2</v>
      </c>
      <c r="T16" s="184">
        <f t="shared" si="15"/>
        <v>1419.0721532480222</v>
      </c>
      <c r="U16" s="1032">
        <f t="shared" si="16"/>
        <v>1419.0721532480222</v>
      </c>
      <c r="V16" s="83">
        <f>V15*(1+(U16-U15)/U15)</f>
        <v>1.0256206963143384</v>
      </c>
      <c r="W16" s="1033">
        <f t="shared" si="24"/>
        <v>1.2410182493123147E-2</v>
      </c>
      <c r="X16" s="184">
        <f t="shared" si="17"/>
        <v>11.289382601865857</v>
      </c>
      <c r="Y16" s="401">
        <f>GlobalChipProd_TFLOPS_GB_RAM!AN15</f>
        <v>114347.40416060542</v>
      </c>
      <c r="Z16" s="56">
        <f t="shared" si="26"/>
        <v>3.2646400230885227E-2</v>
      </c>
      <c r="AA16" s="56">
        <f t="shared" si="27"/>
        <v>3.2641884693381806E-2</v>
      </c>
      <c r="AB16" s="288">
        <f>AB15*(1+AA16)</f>
        <v>114346.85128094656</v>
      </c>
      <c r="AD16" s="2"/>
      <c r="AF16" s="56">
        <f>AF15</f>
        <v>0</v>
      </c>
      <c r="AG16" s="56">
        <v>3.266283274556564E-2</v>
      </c>
    </row>
    <row r="17" spans="2:33" x14ac:dyDescent="0.35">
      <c r="B17" s="149">
        <v>2027</v>
      </c>
      <c r="C17" s="4">
        <f>GlobalChipProd_TFLOPS_GB_RAM!C16</f>
        <v>0.5</v>
      </c>
      <c r="D17" s="2">
        <f t="shared" si="25"/>
        <v>4800000</v>
      </c>
      <c r="E17" s="185">
        <f>GlobalChipProd_TFLOPS_GB_RAM!F16</f>
        <v>60000</v>
      </c>
      <c r="F17" s="184">
        <f t="shared" si="18"/>
        <v>288</v>
      </c>
      <c r="G17" s="2">
        <f t="shared" ref="G17:G40" si="29">G16*(1+G$3)</f>
        <v>2957.5166187406958</v>
      </c>
      <c r="H17" s="2">
        <f t="shared" si="12"/>
        <v>28576.524212247765</v>
      </c>
      <c r="I17" s="2">
        <f t="shared" ref="I17:I34" si="30">SUM(H12:H17)</f>
        <v>61242.561833387401</v>
      </c>
      <c r="J17" s="2">
        <f t="shared" si="13"/>
        <v>470.3428748804152</v>
      </c>
      <c r="K17" s="83">
        <f t="shared" ref="K17:K40" si="31">K16*(1+(J17-J16)/J16)</f>
        <v>4.2343387982767231</v>
      </c>
      <c r="L17" s="2">
        <f t="shared" si="19"/>
        <v>32342.883776322768</v>
      </c>
      <c r="M17" s="2">
        <f t="shared" si="20"/>
        <v>32342.883776322768</v>
      </c>
      <c r="N17" s="83">
        <f t="shared" ref="N17:N40" si="32">N16*(1+(M17-M16)/M16)</f>
        <v>1.0518978127083087</v>
      </c>
      <c r="O17" s="56">
        <f t="shared" si="14"/>
        <v>1.4542391400012969E-2</v>
      </c>
      <c r="P17" s="69">
        <f t="shared" si="21"/>
        <v>1.4542391400012969E-2</v>
      </c>
      <c r="Q17" s="56">
        <f>Q16</f>
        <v>2.5620696314338609E-2</v>
      </c>
      <c r="R17" s="56">
        <f t="shared" si="22"/>
        <v>2.5620696314338609E-2</v>
      </c>
      <c r="S17" s="188">
        <f>S16</f>
        <v>4.4999999999999998E-2</v>
      </c>
      <c r="T17" s="184">
        <f t="shared" si="15"/>
        <v>1455.4297699345243</v>
      </c>
      <c r="U17" s="1032">
        <f t="shared" si="16"/>
        <v>1455.4297699345243</v>
      </c>
      <c r="V17" s="83">
        <f t="shared" ref="V17:V40" si="33">V16*(1+(U17-U16)/U16)</f>
        <v>1.0518978127083085</v>
      </c>
      <c r="W17" s="1033">
        <f t="shared" si="24"/>
        <v>1.2309126791408208E-2</v>
      </c>
      <c r="X17" s="184">
        <f t="shared" si="17"/>
        <v>21.165429369618682</v>
      </c>
      <c r="Y17" s="401">
        <f>GlobalChipProd_TFLOPS_GB_RAM!AN16</f>
        <v>118239.88773520611</v>
      </c>
      <c r="Z17" s="56">
        <f t="shared" si="26"/>
        <v>3.4040856486200075E-2</v>
      </c>
      <c r="AA17" s="56">
        <v>3.4000000000000002E-2</v>
      </c>
      <c r="AB17" s="288">
        <f t="shared" si="28"/>
        <v>118234.64422449874</v>
      </c>
      <c r="AF17" s="56">
        <f>AF16</f>
        <v>0</v>
      </c>
      <c r="AG17" s="56">
        <v>3.281246114268651E-2</v>
      </c>
    </row>
    <row r="18" spans="2:33" x14ac:dyDescent="0.35">
      <c r="B18" s="149">
        <v>2028</v>
      </c>
      <c r="C18" s="4">
        <f>GlobalChipProd_TFLOPS_GB_RAM!C17</f>
        <v>0.3</v>
      </c>
      <c r="D18" s="2">
        <f t="shared" si="25"/>
        <v>6240000</v>
      </c>
      <c r="E18" s="185">
        <f>GlobalChipProd_TFLOPS_GB_RAM!F17</f>
        <v>57000</v>
      </c>
      <c r="F18" s="184">
        <f t="shared" si="18"/>
        <v>355.68</v>
      </c>
      <c r="G18" s="2">
        <f>G17*(1+G$3)</f>
        <v>3095.3439089452709</v>
      </c>
      <c r="H18" s="2">
        <f t="shared" si="12"/>
        <v>38880.735438076183</v>
      </c>
      <c r="I18" s="2">
        <f t="shared" si="30"/>
        <v>100123.29727146358</v>
      </c>
      <c r="J18" s="2">
        <f t="shared" si="13"/>
        <v>768.94692304484033</v>
      </c>
      <c r="K18" s="83">
        <f t="shared" si="31"/>
        <v>6.9225706690934938</v>
      </c>
      <c r="L18" s="2">
        <f t="shared" si="19"/>
        <v>33171.530979485884</v>
      </c>
      <c r="M18" s="2">
        <f t="shared" si="20"/>
        <v>33171.530979485884</v>
      </c>
      <c r="N18" s="83">
        <f t="shared" si="32"/>
        <v>1.0788481671214254</v>
      </c>
      <c r="O18" s="56">
        <f t="shared" si="14"/>
        <v>2.3180929560362367E-2</v>
      </c>
      <c r="P18" s="69">
        <f t="shared" si="21"/>
        <v>2.3180929560362367E-2</v>
      </c>
      <c r="Q18" s="56">
        <f>Q17</f>
        <v>2.5620696314338609E-2</v>
      </c>
      <c r="R18" s="56">
        <f t="shared" si="22"/>
        <v>2.5620696314338609E-2</v>
      </c>
      <c r="S18" s="188">
        <v>0.04</v>
      </c>
      <c r="T18" s="184">
        <f t="shared" si="15"/>
        <v>1326.8612391794354</v>
      </c>
      <c r="U18" s="1032">
        <f t="shared" si="16"/>
        <v>1326.8612391794354</v>
      </c>
      <c r="V18" s="83">
        <f t="shared" si="33"/>
        <v>0.95897614855237812</v>
      </c>
      <c r="W18" s="1033">
        <f t="shared" si="24"/>
        <v>1.0849902737280622E-2</v>
      </c>
      <c r="X18" s="184">
        <f t="shared" si="17"/>
        <v>30.757876921793613</v>
      </c>
      <c r="Y18" s="401">
        <f>GlobalChipProd_TFLOPS_GB_RAM!AN17</f>
        <v>122292.45471669499</v>
      </c>
      <c r="Z18" s="56">
        <f t="shared" si="26"/>
        <v>3.4274110531671488E-2</v>
      </c>
      <c r="AA18" s="56">
        <f t="shared" si="27"/>
        <v>3.4000000000000002E-2</v>
      </c>
      <c r="AB18" s="288">
        <f t="shared" si="28"/>
        <v>122254.6221281317</v>
      </c>
      <c r="AF18" s="56">
        <f>AF17</f>
        <v>0</v>
      </c>
      <c r="AG18" s="56">
        <v>3.4032819814867291E-2</v>
      </c>
    </row>
    <row r="19" spans="2:33" x14ac:dyDescent="0.35">
      <c r="B19" s="517">
        <v>2029</v>
      </c>
      <c r="C19" s="657">
        <f>GlobalChipProd_TFLOPS_GB_RAM!C18</f>
        <v>0.3</v>
      </c>
      <c r="D19" s="91">
        <f t="shared" si="25"/>
        <v>8112000</v>
      </c>
      <c r="E19" s="520">
        <f>GlobalChipProd_TFLOPS_GB_RAM!F18</f>
        <v>55000</v>
      </c>
      <c r="F19" s="520">
        <f t="shared" si="18"/>
        <v>446.16</v>
      </c>
      <c r="G19" s="91">
        <f t="shared" si="29"/>
        <v>3239.5942778249623</v>
      </c>
      <c r="H19" s="91">
        <f t="shared" si="12"/>
        <v>52900.470924233705</v>
      </c>
      <c r="I19" s="91">
        <f t="shared" si="30"/>
        <v>152248.76819569728</v>
      </c>
      <c r="J19" s="91">
        <f t="shared" si="13"/>
        <v>1169.2705397429552</v>
      </c>
      <c r="K19" s="660">
        <f t="shared" si="31"/>
        <v>10.526549622707426</v>
      </c>
      <c r="L19" s="91">
        <f t="shared" si="19"/>
        <v>34166.67690887046</v>
      </c>
      <c r="M19" s="91">
        <f t="shared" si="20"/>
        <v>34166.67690887046</v>
      </c>
      <c r="N19" s="660">
        <f t="shared" si="32"/>
        <v>1.1112136121350682</v>
      </c>
      <c r="O19" s="519">
        <f t="shared" si="14"/>
        <v>3.4222542123766957E-2</v>
      </c>
      <c r="P19" s="523">
        <f t="shared" si="21"/>
        <v>3.4222542123766957E-2</v>
      </c>
      <c r="Q19" s="519">
        <v>0.03</v>
      </c>
      <c r="R19" s="519">
        <f t="shared" si="22"/>
        <v>0.03</v>
      </c>
      <c r="S19" s="650">
        <f t="shared" si="23"/>
        <v>0.04</v>
      </c>
      <c r="T19" s="520">
        <f t="shared" si="15"/>
        <v>1366.6670763548184</v>
      </c>
      <c r="U19" s="583">
        <f t="shared" si="16"/>
        <v>1366.6670763548184</v>
      </c>
      <c r="V19" s="660">
        <f t="shared" si="33"/>
        <v>0.98774543300894946</v>
      </c>
      <c r="W19" s="665">
        <f t="shared" si="24"/>
        <v>1.078268955089929E-2</v>
      </c>
      <c r="X19" s="520">
        <f t="shared" si="17"/>
        <v>46.770821589718203</v>
      </c>
      <c r="Y19" s="583">
        <f>GlobalChipProd_TFLOPS_GB_RAM!AN18</f>
        <v>126746.39939353876</v>
      </c>
      <c r="Z19" s="519">
        <f t="shared" si="26"/>
        <v>3.6420437280140099E-2</v>
      </c>
      <c r="AA19" s="519">
        <v>3.5000000000000003E-2</v>
      </c>
      <c r="AB19" s="658">
        <f t="shared" si="28"/>
        <v>126533.5339026163</v>
      </c>
      <c r="AF19" s="519">
        <v>0.03</v>
      </c>
      <c r="AG19" s="56">
        <v>3.7585198835407965E-2</v>
      </c>
    </row>
    <row r="20" spans="2:33" x14ac:dyDescent="0.35">
      <c r="B20" s="149">
        <v>2030</v>
      </c>
      <c r="C20" s="4">
        <f>GlobalChipProd_TFLOPS_GB_RAM!C19</f>
        <v>0.25</v>
      </c>
      <c r="D20" s="2">
        <f t="shared" si="25"/>
        <v>10140000</v>
      </c>
      <c r="E20" s="185">
        <f>GlobalChipProd_TFLOPS_GB_RAM!F19</f>
        <v>52000</v>
      </c>
      <c r="F20" s="184">
        <f t="shared" si="18"/>
        <v>527.28</v>
      </c>
      <c r="G20" s="2">
        <f t="shared" si="29"/>
        <v>3390.5670560827502</v>
      </c>
      <c r="H20" s="2">
        <f t="shared" si="12"/>
        <v>69207.197948639718</v>
      </c>
      <c r="I20" s="2">
        <f t="shared" si="30"/>
        <v>218637.78432615518</v>
      </c>
      <c r="J20" s="2">
        <f t="shared" si="13"/>
        <v>1679.1381836248718</v>
      </c>
      <c r="K20" s="83">
        <f t="shared" si="31"/>
        <v>15.11671663017842</v>
      </c>
      <c r="L20" s="2">
        <f t="shared" si="19"/>
        <v>35362.510600680922</v>
      </c>
      <c r="M20" s="2">
        <f t="shared" si="20"/>
        <v>35465.010631407538</v>
      </c>
      <c r="N20" s="83">
        <f t="shared" si="32"/>
        <v>1.1534397293962009</v>
      </c>
      <c r="O20" s="56">
        <f t="shared" si="14"/>
        <v>4.7483568194180738E-2</v>
      </c>
      <c r="P20" s="69">
        <f t="shared" si="21"/>
        <v>4.7346332447954775E-2</v>
      </c>
      <c r="Q20" s="56">
        <v>3.5000000000000003E-2</v>
      </c>
      <c r="R20" s="56">
        <v>3.7999999999999999E-2</v>
      </c>
      <c r="S20" s="188">
        <f t="shared" si="23"/>
        <v>0.04</v>
      </c>
      <c r="T20" s="184">
        <f t="shared" si="15"/>
        <v>1414.5004240272367</v>
      </c>
      <c r="U20" s="1032">
        <f t="shared" si="16"/>
        <v>1418.6004252563016</v>
      </c>
      <c r="V20" s="83">
        <f t="shared" si="33"/>
        <v>1.0252797594632896</v>
      </c>
      <c r="W20" s="1033">
        <f t="shared" si="24"/>
        <v>1.0762639739611595E-2</v>
      </c>
      <c r="X20" s="184">
        <f t="shared" si="17"/>
        <v>67.165527344994871</v>
      </c>
      <c r="Y20" s="401">
        <f>GlobalChipProd_TFLOPS_GB_RAM!AN19</f>
        <v>131807.85193758574</v>
      </c>
      <c r="Z20" s="56">
        <f t="shared" si="26"/>
        <v>3.9933698852710836E-2</v>
      </c>
      <c r="AA20" s="56">
        <v>3.5999999999999997E-2</v>
      </c>
      <c r="AB20" s="288">
        <f t="shared" si="28"/>
        <v>131088.74112311049</v>
      </c>
      <c r="AF20" s="56">
        <v>0.04</v>
      </c>
      <c r="AG20" s="56">
        <v>5.1540704411276034E-2</v>
      </c>
    </row>
    <row r="21" spans="2:33" x14ac:dyDescent="0.35">
      <c r="B21" s="149">
        <v>2031</v>
      </c>
      <c r="C21" s="4">
        <f>GlobalChipProd_TFLOPS_GB_RAM!C20</f>
        <v>0.25</v>
      </c>
      <c r="D21" s="2">
        <f t="shared" si="25"/>
        <v>12675000</v>
      </c>
      <c r="E21" s="185">
        <f>GlobalChipProd_TFLOPS_GB_RAM!F20</f>
        <v>50000</v>
      </c>
      <c r="F21" s="184">
        <f t="shared" si="18"/>
        <v>633.75</v>
      </c>
      <c r="G21" s="2">
        <f t="shared" si="29"/>
        <v>3548.5755239424402</v>
      </c>
      <c r="H21" s="2">
        <f t="shared" si="12"/>
        <v>90540.521931498923</v>
      </c>
      <c r="I21" s="2">
        <f t="shared" si="30"/>
        <v>298308.17638752423</v>
      </c>
      <c r="J21" s="2">
        <f t="shared" si="13"/>
        <v>2291.0067946561862</v>
      </c>
      <c r="K21" s="83">
        <f t="shared" si="31"/>
        <v>20.625164057592539</v>
      </c>
      <c r="L21" s="2">
        <f t="shared" si="19"/>
        <v>36670.923492906113</v>
      </c>
      <c r="M21" s="2">
        <f t="shared" si="20"/>
        <v>37172.713088845325</v>
      </c>
      <c r="N21" s="83">
        <f t="shared" si="32"/>
        <v>1.2089798751716512</v>
      </c>
      <c r="O21" s="56">
        <f t="shared" si="14"/>
        <v>6.2474750468157016E-2</v>
      </c>
      <c r="P21" s="69">
        <f t="shared" si="21"/>
        <v>6.1631411976320466E-2</v>
      </c>
      <c r="Q21" s="56">
        <f>AA21</f>
        <v>3.6999999999999998E-2</v>
      </c>
      <c r="R21" s="56">
        <f>Z21</f>
        <v>4.8151753715405983E-2</v>
      </c>
      <c r="S21" s="188">
        <v>3.5000000000000003E-2</v>
      </c>
      <c r="T21" s="184">
        <f t="shared" si="15"/>
        <v>1283.4823222517139</v>
      </c>
      <c r="U21" s="1032">
        <f t="shared" si="16"/>
        <v>1301.0449581095866</v>
      </c>
      <c r="V21" s="83">
        <f t="shared" si="33"/>
        <v>0.94031768068906207</v>
      </c>
      <c r="W21" s="1033">
        <f t="shared" si="24"/>
        <v>9.417309772160147E-3</v>
      </c>
      <c r="X21" s="184">
        <f t="shared" si="17"/>
        <v>80.18523781296652</v>
      </c>
      <c r="Y21" s="401">
        <f>GlobalChipProd_TFLOPS_GB_RAM!AN20</f>
        <v>138154.63116184107</v>
      </c>
      <c r="Z21" s="56">
        <f t="shared" si="26"/>
        <v>4.8151753715405983E-2</v>
      </c>
      <c r="AA21" s="56">
        <v>3.6999999999999998E-2</v>
      </c>
      <c r="AB21" s="288">
        <f t="shared" si="28"/>
        <v>135939.02454466556</v>
      </c>
      <c r="AF21" s="56">
        <v>0.05</v>
      </c>
      <c r="AG21" s="56">
        <v>6.5610983190334204E-2</v>
      </c>
    </row>
    <row r="22" spans="2:33" x14ac:dyDescent="0.35">
      <c r="B22" s="149">
        <v>2032</v>
      </c>
      <c r="C22" s="4">
        <f>GlobalChipProd_TFLOPS_GB_RAM!C21</f>
        <v>0.25</v>
      </c>
      <c r="D22" s="2">
        <f t="shared" si="25"/>
        <v>15843750</v>
      </c>
      <c r="E22" s="185">
        <f>GlobalChipProd_TFLOPS_GB_RAM!F21</f>
        <v>45000</v>
      </c>
      <c r="F22" s="184">
        <f t="shared" si="18"/>
        <v>712.96875</v>
      </c>
      <c r="G22" s="2">
        <f t="shared" si="29"/>
        <v>3713.9475612294259</v>
      </c>
      <c r="H22" s="2">
        <f t="shared" si="12"/>
        <v>118449.9062902656</v>
      </c>
      <c r="I22" s="2">
        <f t="shared" si="30"/>
        <v>398555.35674496193</v>
      </c>
      <c r="J22" s="2">
        <f t="shared" si="13"/>
        <v>3060.9051398013075</v>
      </c>
      <c r="K22" s="83">
        <f t="shared" si="31"/>
        <v>27.55630006003733</v>
      </c>
      <c r="L22" s="2">
        <f t="shared" si="19"/>
        <v>38137.760432622359</v>
      </c>
      <c r="M22" s="2">
        <f t="shared" si="20"/>
        <v>39636.598438263507</v>
      </c>
      <c r="N22" s="83">
        <f t="shared" si="32"/>
        <v>1.2891135957063171</v>
      </c>
      <c r="O22" s="56">
        <f t="shared" si="14"/>
        <v>8.0259173718629367E-2</v>
      </c>
      <c r="P22" s="69">
        <f t="shared" si="21"/>
        <v>7.7224213489683266E-2</v>
      </c>
      <c r="Q22" s="56">
        <f t="shared" ref="Q22:Q35" si="34">AA22</f>
        <v>0.04</v>
      </c>
      <c r="R22" s="56">
        <f t="shared" ref="R22:R35" si="35">Z22</f>
        <v>6.6282096319666653E-2</v>
      </c>
      <c r="S22" s="188">
        <f t="shared" si="23"/>
        <v>3.5000000000000003E-2</v>
      </c>
      <c r="T22" s="184">
        <f t="shared" si="15"/>
        <v>1334.8216151417828</v>
      </c>
      <c r="U22" s="1032">
        <f t="shared" si="16"/>
        <v>1387.2809453392229</v>
      </c>
      <c r="V22" s="83">
        <f t="shared" si="33"/>
        <v>1.0026439077715801</v>
      </c>
      <c r="W22" s="1033">
        <f t="shared" si="24"/>
        <v>9.417309772160147E-3</v>
      </c>
      <c r="X22" s="184">
        <f t="shared" si="17"/>
        <v>107.13167989304577</v>
      </c>
      <c r="Y22" s="401">
        <f>GlobalChipProd_TFLOPS_GB_RAM!AN21</f>
        <v>147311.80973151824</v>
      </c>
      <c r="Z22" s="56">
        <f t="shared" si="26"/>
        <v>6.6282096319666653E-2</v>
      </c>
      <c r="AA22" s="56">
        <v>0.04</v>
      </c>
      <c r="AB22" s="288">
        <f t="shared" si="28"/>
        <v>141376.5855264522</v>
      </c>
      <c r="AF22" s="56">
        <v>0.06</v>
      </c>
      <c r="AG22" s="56">
        <v>9.4943670637783001E-2</v>
      </c>
    </row>
    <row r="23" spans="2:33" x14ac:dyDescent="0.35">
      <c r="B23" s="149">
        <v>2033</v>
      </c>
      <c r="C23" s="4">
        <f>GlobalChipProd_TFLOPS_GB_RAM!C22</f>
        <v>0.25</v>
      </c>
      <c r="D23" s="2">
        <f t="shared" si="25"/>
        <v>19804687.5</v>
      </c>
      <c r="E23" s="185">
        <f>GlobalChipProd_TFLOPS_GB_RAM!F22</f>
        <v>40000</v>
      </c>
      <c r="F23" s="184">
        <f t="shared" si="18"/>
        <v>792.1875</v>
      </c>
      <c r="G23" s="2">
        <f t="shared" si="29"/>
        <v>3887.0263277467552</v>
      </c>
      <c r="H23" s="2">
        <f t="shared" si="12"/>
        <v>154962.44113533827</v>
      </c>
      <c r="I23" s="2">
        <f t="shared" si="30"/>
        <v>524941.2736680524</v>
      </c>
      <c r="J23" s="2">
        <f t="shared" si="13"/>
        <v>4031.5489817706421</v>
      </c>
      <c r="K23" s="83">
        <f t="shared" si="31"/>
        <v>36.29468029042588</v>
      </c>
      <c r="L23" s="2">
        <f t="shared" si="19"/>
        <v>39853.959652090365</v>
      </c>
      <c r="M23" s="2">
        <f t="shared" si="20"/>
        <v>43465.429070400212</v>
      </c>
      <c r="N23" s="83">
        <f t="shared" si="32"/>
        <v>1.4136398622887549</v>
      </c>
      <c r="O23" s="56">
        <f t="shared" si="14"/>
        <v>0.10115805347735843</v>
      </c>
      <c r="P23" s="69">
        <f t="shared" si="21"/>
        <v>9.2753000901953847E-2</v>
      </c>
      <c r="Q23" s="56">
        <f t="shared" si="34"/>
        <v>4.4999999999999998E-2</v>
      </c>
      <c r="R23" s="56">
        <f t="shared" si="35"/>
        <v>9.6598365727582652E-2</v>
      </c>
      <c r="S23" s="188">
        <f t="shared" si="23"/>
        <v>3.5000000000000003E-2</v>
      </c>
      <c r="T23" s="184">
        <f t="shared" si="15"/>
        <v>1394.8885878231631</v>
      </c>
      <c r="U23" s="1032">
        <f t="shared" si="16"/>
        <v>1521.2900174640076</v>
      </c>
      <c r="V23" s="83">
        <f t="shared" si="33"/>
        <v>1.0994976706690318</v>
      </c>
      <c r="W23" s="1033">
        <f t="shared" si="24"/>
        <v>9.4173097721601453E-3</v>
      </c>
      <c r="X23" s="184">
        <f t="shared" si="17"/>
        <v>141.10421436197248</v>
      </c>
      <c r="Y23" s="401">
        <f>GlobalChipProd_TFLOPS_GB_RAM!AN22</f>
        <v>161541.88980395551</v>
      </c>
      <c r="Z23" s="56">
        <f t="shared" si="26"/>
        <v>9.6598365727582652E-2</v>
      </c>
      <c r="AA23" s="56">
        <v>4.4999999999999998E-2</v>
      </c>
      <c r="AB23" s="288">
        <f t="shared" si="28"/>
        <v>147738.53187514254</v>
      </c>
      <c r="AF23" s="56">
        <v>0.08</v>
      </c>
      <c r="AG23" s="56">
        <v>0.1355527131074005</v>
      </c>
    </row>
    <row r="24" spans="2:33" x14ac:dyDescent="0.35">
      <c r="B24" s="149">
        <v>2034</v>
      </c>
      <c r="C24" s="4">
        <f>GlobalChipProd_TFLOPS_GB_RAM!C23</f>
        <v>0.25</v>
      </c>
      <c r="D24" s="2">
        <f t="shared" si="25"/>
        <v>24755859.375</v>
      </c>
      <c r="E24" s="185">
        <f>GlobalChipProd_TFLOPS_GB_RAM!F23</f>
        <v>35000</v>
      </c>
      <c r="F24" s="184">
        <f t="shared" si="18"/>
        <v>866.455078125</v>
      </c>
      <c r="G24" s="2">
        <f t="shared" si="29"/>
        <v>4068.1709753583355</v>
      </c>
      <c r="H24" s="2">
        <f t="shared" si="12"/>
        <v>202730.07311443207</v>
      </c>
      <c r="I24" s="2">
        <f t="shared" si="30"/>
        <v>688790.61134440824</v>
      </c>
      <c r="J24" s="2">
        <f t="shared" si="13"/>
        <v>5289.9118951250557</v>
      </c>
      <c r="K24" s="83">
        <f t="shared" si="31"/>
        <v>47.623298604637306</v>
      </c>
      <c r="L24" s="2">
        <f t="shared" si="19"/>
        <v>41846.657634694886</v>
      </c>
      <c r="M24" s="2">
        <f t="shared" si="20"/>
        <v>50056.168553504212</v>
      </c>
      <c r="N24" s="83">
        <f t="shared" si="32"/>
        <v>1.6279925617682822</v>
      </c>
      <c r="O24" s="56">
        <f t="shared" si="14"/>
        <v>0.12641181384912356</v>
      </c>
      <c r="P24" s="69">
        <f t="shared" si="21"/>
        <v>0.105679520586374</v>
      </c>
      <c r="Q24" s="56">
        <f t="shared" si="34"/>
        <v>0.05</v>
      </c>
      <c r="R24" s="56">
        <f t="shared" si="35"/>
        <v>0.15163175940191673</v>
      </c>
      <c r="S24" s="188">
        <v>0.03</v>
      </c>
      <c r="T24" s="184">
        <f t="shared" si="15"/>
        <v>1255.3997290408465</v>
      </c>
      <c r="U24" s="1032">
        <f t="shared" si="16"/>
        <v>1501.6850566051262</v>
      </c>
      <c r="V24" s="83">
        <f t="shared" si="33"/>
        <v>1.085328374512188</v>
      </c>
      <c r="W24" s="1033">
        <f t="shared" si="24"/>
        <v>8.0719798047086937E-3</v>
      </c>
      <c r="X24" s="184">
        <f t="shared" si="17"/>
        <v>158.69735685375167</v>
      </c>
      <c r="Y24" s="401">
        <f>GlobalChipProd_TFLOPS_GB_RAM!AN23</f>
        <v>186036.77077203983</v>
      </c>
      <c r="Z24" s="56">
        <f t="shared" si="26"/>
        <v>0.15163175940191673</v>
      </c>
      <c r="AA24" s="56">
        <v>0.05</v>
      </c>
      <c r="AB24" s="288">
        <f t="shared" si="28"/>
        <v>155125.45846889968</v>
      </c>
      <c r="AF24" s="56">
        <v>0.09</v>
      </c>
      <c r="AG24" s="56">
        <v>0.21572259982610573</v>
      </c>
    </row>
    <row r="25" spans="2:33" x14ac:dyDescent="0.35">
      <c r="B25" s="517">
        <v>2035</v>
      </c>
      <c r="C25" s="657">
        <f>GlobalChipProd_TFLOPS_GB_RAM!C24</f>
        <v>0.25</v>
      </c>
      <c r="D25" s="91">
        <f t="shared" si="25"/>
        <v>30944824.21875</v>
      </c>
      <c r="E25" s="520">
        <f>GlobalChipProd_TFLOPS_GB_RAM!F24</f>
        <v>30000</v>
      </c>
      <c r="F25" s="520">
        <f t="shared" si="18"/>
        <v>928.3447265625</v>
      </c>
      <c r="G25" s="91">
        <f t="shared" si="29"/>
        <v>4257.7573932569067</v>
      </c>
      <c r="H25" s="91">
        <f t="shared" si="12"/>
        <v>265222.21929304959</v>
      </c>
      <c r="I25" s="91">
        <f t="shared" si="30"/>
        <v>901112.35971322423</v>
      </c>
      <c r="J25" s="91">
        <f t="shared" si="13"/>
        <v>6920.5429225975622</v>
      </c>
      <c r="K25" s="660">
        <f t="shared" si="31"/>
        <v>62.3033216135033</v>
      </c>
      <c r="L25" s="91">
        <f t="shared" si="19"/>
        <v>44357.457092776582</v>
      </c>
      <c r="M25" s="91">
        <f t="shared" si="20"/>
        <v>62121.44955211239</v>
      </c>
      <c r="N25" s="660">
        <f t="shared" si="32"/>
        <v>2.0203955020848809</v>
      </c>
      <c r="O25" s="519">
        <f t="shared" si="14"/>
        <v>0.15601757576235231</v>
      </c>
      <c r="P25" s="523">
        <f t="shared" si="21"/>
        <v>0.11140343589040148</v>
      </c>
      <c r="Q25" s="519">
        <f t="shared" si="34"/>
        <v>0.06</v>
      </c>
      <c r="R25" s="519">
        <f t="shared" si="35"/>
        <v>0.24103484839659273</v>
      </c>
      <c r="S25" s="650">
        <f t="shared" si="23"/>
        <v>0.03</v>
      </c>
      <c r="T25" s="520">
        <f t="shared" si="15"/>
        <v>1330.7237127832973</v>
      </c>
      <c r="U25" s="583">
        <f t="shared" si="16"/>
        <v>1863.6434865633717</v>
      </c>
      <c r="V25" s="660">
        <f t="shared" si="33"/>
        <v>1.3469303347232537</v>
      </c>
      <c r="W25" s="665">
        <f t="shared" si="24"/>
        <v>8.0719798047086937E-3</v>
      </c>
      <c r="X25" s="520">
        <f t="shared" si="17"/>
        <v>207.61628767792689</v>
      </c>
      <c r="Y25" s="583">
        <f>GlobalChipProd_TFLOPS_GB_RAM!AN24</f>
        <v>230878.11561127013</v>
      </c>
      <c r="Z25" s="519">
        <f t="shared" si="26"/>
        <v>0.24103484839659273</v>
      </c>
      <c r="AA25" s="519">
        <v>0.06</v>
      </c>
      <c r="AB25" s="658">
        <f t="shared" si="28"/>
        <v>164432.98597703368</v>
      </c>
      <c r="AF25" s="519">
        <v>0.1</v>
      </c>
      <c r="AG25" s="56">
        <v>0.29251708508204949</v>
      </c>
    </row>
    <row r="26" spans="2:33" x14ac:dyDescent="0.35">
      <c r="B26" s="149">
        <v>2036</v>
      </c>
      <c r="C26" s="4">
        <f>GlobalChipProd_TFLOPS_GB_RAM!C25</f>
        <v>0.25</v>
      </c>
      <c r="D26" s="2">
        <f t="shared" si="25"/>
        <v>38681030.2734375</v>
      </c>
      <c r="E26" s="185">
        <f>GlobalChipProd_TFLOPS_GB_RAM!F25</f>
        <v>25000</v>
      </c>
      <c r="F26" s="184">
        <f t="shared" si="18"/>
        <v>967.0257568359375</v>
      </c>
      <c r="G26" s="2">
        <f t="shared" si="29"/>
        <v>4456.1789879632679</v>
      </c>
      <c r="H26" s="2">
        <f t="shared" si="12"/>
        <v>346977.75483475073</v>
      </c>
      <c r="I26" s="2">
        <f t="shared" si="30"/>
        <v>1178882.9165993351</v>
      </c>
      <c r="J26" s="2">
        <f t="shared" si="13"/>
        <v>9053.8207994828954</v>
      </c>
      <c r="K26" s="83">
        <f t="shared" si="31"/>
        <v>81.508505244482322</v>
      </c>
      <c r="L26" s="2">
        <f t="shared" si="19"/>
        <v>47462.479089270942</v>
      </c>
      <c r="M26" s="2">
        <f t="shared" si="20"/>
        <v>84931.19023906441</v>
      </c>
      <c r="N26" s="83">
        <f t="shared" si="32"/>
        <v>2.7622438945468257</v>
      </c>
      <c r="O26" s="56">
        <f t="shared" si="14"/>
        <v>0.19075743562517666</v>
      </c>
      <c r="P26" s="69">
        <f t="shared" si="21"/>
        <v>0.10660183583908563</v>
      </c>
      <c r="Q26" s="56">
        <f t="shared" si="34"/>
        <v>7.0000000000000007E-2</v>
      </c>
      <c r="R26" s="56">
        <f t="shared" si="35"/>
        <v>0.36717978816346525</v>
      </c>
      <c r="S26" s="188">
        <f t="shared" si="23"/>
        <v>0.03</v>
      </c>
      <c r="T26" s="184">
        <f t="shared" si="15"/>
        <v>1423.8743726781283</v>
      </c>
      <c r="U26" s="1032">
        <f t="shared" si="16"/>
        <v>2547.9357071719323</v>
      </c>
      <c r="V26" s="83">
        <f t="shared" si="33"/>
        <v>1.8414959296978834</v>
      </c>
      <c r="W26" s="1033">
        <f t="shared" si="24"/>
        <v>8.0719798047086955E-3</v>
      </c>
      <c r="X26" s="184">
        <f t="shared" si="17"/>
        <v>271.6146239844868</v>
      </c>
      <c r="Y26" s="401">
        <f>GlobalChipProd_TFLOPS_GB_RAM!AN25</f>
        <v>315651.89319299633</v>
      </c>
      <c r="Z26" s="56">
        <f t="shared" si="26"/>
        <v>0.36717978816346525</v>
      </c>
      <c r="AA26" s="56">
        <v>7.0000000000000007E-2</v>
      </c>
      <c r="AB26" s="288">
        <f t="shared" si="28"/>
        <v>175943.29499542605</v>
      </c>
      <c r="AF26" s="56">
        <v>0.11</v>
      </c>
      <c r="AG26" s="56">
        <v>0.33244532351569883</v>
      </c>
    </row>
    <row r="27" spans="2:33" x14ac:dyDescent="0.35">
      <c r="B27" s="149">
        <v>2037</v>
      </c>
      <c r="C27" s="4">
        <f>GlobalChipProd_TFLOPS_GB_RAM!C26</f>
        <v>0.25</v>
      </c>
      <c r="D27" s="2">
        <f t="shared" si="25"/>
        <v>48351287.841796875</v>
      </c>
      <c r="E27" s="185">
        <f>GlobalChipProd_TFLOPS_GB_RAM!F26</f>
        <v>20000</v>
      </c>
      <c r="F27" s="184">
        <f t="shared" si="18"/>
        <v>967.0257568359375</v>
      </c>
      <c r="G27" s="2">
        <f t="shared" si="29"/>
        <v>4663.8474996753203</v>
      </c>
      <c r="H27" s="2">
        <f t="shared" si="12"/>
        <v>453934.67663106683</v>
      </c>
      <c r="I27" s="2">
        <f t="shared" si="30"/>
        <v>1542277.0712989029</v>
      </c>
      <c r="J27" s="2">
        <f t="shared" si="13"/>
        <v>11844.687907575573</v>
      </c>
      <c r="K27" s="83">
        <f t="shared" si="31"/>
        <v>106.63374367747822</v>
      </c>
      <c r="L27" s="2">
        <f t="shared" si="19"/>
        <v>51259.477416412621</v>
      </c>
      <c r="M27" s="2">
        <f t="shared" si="20"/>
        <v>125727.62864141363</v>
      </c>
      <c r="N27" s="83">
        <f t="shared" si="32"/>
        <v>4.0890793313156459</v>
      </c>
      <c r="O27" s="56">
        <f t="shared" si="14"/>
        <v>0.23107313036677696</v>
      </c>
      <c r="P27" s="69">
        <f t="shared" si="21"/>
        <v>9.4209109290987081E-2</v>
      </c>
      <c r="Q27" s="56">
        <f t="shared" si="34"/>
        <v>0.08</v>
      </c>
      <c r="R27" s="56">
        <f t="shared" si="35"/>
        <v>0.48034695248606968</v>
      </c>
      <c r="S27" s="188">
        <v>2.5000000000000001E-2</v>
      </c>
      <c r="T27" s="184">
        <f t="shared" si="15"/>
        <v>1281.4869354103157</v>
      </c>
      <c r="U27" s="1032">
        <f t="shared" si="16"/>
        <v>3143.1907160353408</v>
      </c>
      <c r="V27" s="83">
        <f t="shared" si="33"/>
        <v>2.2717107396198029</v>
      </c>
      <c r="W27" s="1033">
        <f t="shared" si="24"/>
        <v>6.7266498372572456E-3</v>
      </c>
      <c r="X27" s="184">
        <f t="shared" si="17"/>
        <v>296.11719768938934</v>
      </c>
      <c r="Y27" s="401">
        <f>GlobalChipProd_TFLOPS_GB_RAM!AN26</f>
        <v>467274.31813471048</v>
      </c>
      <c r="Z27" s="56">
        <f t="shared" si="26"/>
        <v>0.48034695248606968</v>
      </c>
      <c r="AA27" s="56">
        <v>0.08</v>
      </c>
      <c r="AB27" s="288">
        <f t="shared" si="28"/>
        <v>190018.75859506015</v>
      </c>
      <c r="AF27" s="56">
        <v>0.13</v>
      </c>
      <c r="AG27" s="56">
        <v>0.46963616104382</v>
      </c>
    </row>
    <row r="28" spans="2:33" x14ac:dyDescent="0.35">
      <c r="B28" s="149">
        <v>2038</v>
      </c>
      <c r="C28" s="4">
        <f>GlobalChipProd_TFLOPS_GB_RAM!C27</f>
        <v>0.25</v>
      </c>
      <c r="D28" s="2">
        <f t="shared" si="25"/>
        <v>60439109.802246094</v>
      </c>
      <c r="E28" s="185">
        <f>GlobalChipProd_TFLOPS_GB_RAM!F27</f>
        <v>17000</v>
      </c>
      <c r="F28" s="184">
        <f t="shared" si="18"/>
        <v>1027.4648666381836</v>
      </c>
      <c r="G28" s="2">
        <f t="shared" si="29"/>
        <v>4881.1938566609106</v>
      </c>
      <c r="H28" s="2">
        <f t="shared" si="12"/>
        <v>593861.38672286447</v>
      </c>
      <c r="I28" s="2">
        <f t="shared" si="30"/>
        <v>2017688.5517315022</v>
      </c>
      <c r="J28" s="2">
        <f t="shared" si="13"/>
        <v>15495.848077297935</v>
      </c>
      <c r="K28" s="83">
        <f t="shared" si="31"/>
        <v>139.503911359531</v>
      </c>
      <c r="L28" s="2">
        <f t="shared" si="19"/>
        <v>55872.830383889763</v>
      </c>
      <c r="M28" s="2">
        <f t="shared" si="20"/>
        <v>193605.83782180154</v>
      </c>
      <c r="N28" s="83">
        <f t="shared" si="32"/>
        <v>6.2967037429544614</v>
      </c>
      <c r="O28" s="56">
        <f t="shared" si="14"/>
        <v>0.27734138347439025</v>
      </c>
      <c r="P28" s="69">
        <f t="shared" si="21"/>
        <v>8.0038124116694281E-2</v>
      </c>
      <c r="Q28" s="56">
        <f t="shared" si="34"/>
        <v>0.09</v>
      </c>
      <c r="R28" s="56">
        <f t="shared" si="35"/>
        <v>0.53988299877970825</v>
      </c>
      <c r="S28" s="188">
        <f t="shared" si="23"/>
        <v>2.5000000000000001E-2</v>
      </c>
      <c r="T28" s="184">
        <f t="shared" si="15"/>
        <v>1396.8207595972442</v>
      </c>
      <c r="U28" s="1032">
        <f t="shared" si="16"/>
        <v>4840.1459455450376</v>
      </c>
      <c r="V28" s="83">
        <f t="shared" si="33"/>
        <v>3.4981687460858102</v>
      </c>
      <c r="W28" s="1033">
        <f t="shared" si="24"/>
        <v>6.7266498372572439E-3</v>
      </c>
      <c r="X28" s="184">
        <f t="shared" si="17"/>
        <v>387.39620193244843</v>
      </c>
      <c r="Y28" s="401">
        <f>GlobalChipProd_TFLOPS_GB_RAM!AN27</f>
        <v>719547.77826202137</v>
      </c>
      <c r="Z28" s="56">
        <f t="shared" si="26"/>
        <v>0.53988299877970825</v>
      </c>
      <c r="AA28" s="56">
        <v>0.09</v>
      </c>
      <c r="AB28" s="288">
        <f t="shared" si="28"/>
        <v>207120.44686861557</v>
      </c>
      <c r="AF28" s="56">
        <v>0.14000000000000001</v>
      </c>
      <c r="AG28" s="56">
        <v>0.61288857596828927</v>
      </c>
    </row>
    <row r="29" spans="2:33" x14ac:dyDescent="0.35">
      <c r="B29" s="149">
        <v>2039</v>
      </c>
      <c r="C29" s="4">
        <f>GlobalChipProd_TFLOPS_GB_RAM!C28</f>
        <v>0.25</v>
      </c>
      <c r="D29" s="2">
        <f t="shared" si="25"/>
        <v>75548887.252807617</v>
      </c>
      <c r="E29" s="185">
        <f>GlobalChipProd_TFLOPS_GB_RAM!F28</f>
        <v>16000</v>
      </c>
      <c r="F29" s="184">
        <f t="shared" si="18"/>
        <v>1208.7821960449219</v>
      </c>
      <c r="G29" s="2">
        <f t="shared" si="29"/>
        <v>5108.669069467408</v>
      </c>
      <c r="H29" s="2">
        <f t="shared" si="12"/>
        <v>776920.92011519894</v>
      </c>
      <c r="I29" s="2">
        <f t="shared" si="30"/>
        <v>2639647.0307113626</v>
      </c>
      <c r="J29" s="2">
        <f t="shared" si="13"/>
        <v>20272.489195863265</v>
      </c>
      <c r="K29" s="83">
        <f t="shared" si="31"/>
        <v>182.50640569715131</v>
      </c>
      <c r="L29" s="2">
        <f t="shared" si="19"/>
        <v>61460.113422278744</v>
      </c>
      <c r="M29" s="2">
        <f t="shared" si="20"/>
        <v>297958.81674917688</v>
      </c>
      <c r="N29" s="83">
        <f t="shared" si="32"/>
        <v>9.6906085982679713</v>
      </c>
      <c r="O29" s="56">
        <f t="shared" si="14"/>
        <v>0.32984789755553345</v>
      </c>
      <c r="P29" s="69">
        <f t="shared" si="21"/>
        <v>6.8037889991114917E-2</v>
      </c>
      <c r="Q29" s="56">
        <f t="shared" si="34"/>
        <v>0.1</v>
      </c>
      <c r="R29" s="56">
        <f t="shared" si="35"/>
        <v>0.53899706796767044</v>
      </c>
      <c r="S29" s="188">
        <f t="shared" si="23"/>
        <v>2.5000000000000001E-2</v>
      </c>
      <c r="T29" s="184">
        <f t="shared" si="15"/>
        <v>1536.5028355569686</v>
      </c>
      <c r="U29" s="1032">
        <f t="shared" si="16"/>
        <v>7448.9704187294219</v>
      </c>
      <c r="V29" s="83">
        <f t="shared" si="33"/>
        <v>5.3836714434822053</v>
      </c>
      <c r="W29" s="1033">
        <f t="shared" si="24"/>
        <v>6.7266498372572448E-3</v>
      </c>
      <c r="X29" s="184">
        <f t="shared" si="17"/>
        <v>506.81222989658164</v>
      </c>
      <c r="Y29" s="401">
        <f>GlobalChipProd_TFLOPS_GB_RAM!AN28</f>
        <v>1107381.9210079024</v>
      </c>
      <c r="Z29" s="56">
        <f t="shared" si="26"/>
        <v>0.53899706796767044</v>
      </c>
      <c r="AA29" s="56">
        <v>0.1</v>
      </c>
      <c r="AB29" s="288">
        <f t="shared" si="28"/>
        <v>227832.49155547714</v>
      </c>
      <c r="AF29" s="56">
        <v>0.15</v>
      </c>
      <c r="AG29" s="56">
        <v>0.59787384226576723</v>
      </c>
    </row>
    <row r="30" spans="2:33" x14ac:dyDescent="0.35">
      <c r="B30" s="149">
        <v>2040</v>
      </c>
      <c r="C30" s="4">
        <f>GlobalChipProd_TFLOPS_GB_RAM!C29</f>
        <v>0.25</v>
      </c>
      <c r="D30" s="2">
        <f t="shared" si="25"/>
        <v>94436109.066009521</v>
      </c>
      <c r="E30" s="185">
        <f>GlobalChipProd_TFLOPS_GB_RAM!F29</f>
        <v>15000</v>
      </c>
      <c r="F30" s="184">
        <f t="shared" si="18"/>
        <v>1416.5416359901428</v>
      </c>
      <c r="G30" s="2">
        <f t="shared" si="29"/>
        <v>5346.7451668035683</v>
      </c>
      <c r="H30" s="2">
        <f t="shared" si="12"/>
        <v>1016409.0974891593</v>
      </c>
      <c r="I30" s="2">
        <f t="shared" si="30"/>
        <v>3453326.0550860902</v>
      </c>
      <c r="J30" s="2">
        <f t="shared" si="13"/>
        <v>26521.544103061173</v>
      </c>
      <c r="K30" s="83">
        <f t="shared" si="31"/>
        <v>238.76454642658678</v>
      </c>
      <c r="L30" s="2">
        <f t="shared" si="19"/>
        <v>67606.124764506618</v>
      </c>
      <c r="M30" s="2">
        <f t="shared" si="20"/>
        <v>449892.85571928072</v>
      </c>
      <c r="N30" s="83">
        <f t="shared" si="32"/>
        <v>14.632007280397541</v>
      </c>
      <c r="O30" s="56">
        <f t="shared" si="14"/>
        <v>0.39229499095598286</v>
      </c>
      <c r="P30" s="69">
        <f t="shared" si="21"/>
        <v>5.8950800764904339E-2</v>
      </c>
      <c r="Q30" s="56">
        <f t="shared" si="34"/>
        <v>0.1</v>
      </c>
      <c r="R30" s="56">
        <f t="shared" si="35"/>
        <v>0.50991623818268361</v>
      </c>
      <c r="S30" s="188">
        <f>0.02</f>
        <v>0.02</v>
      </c>
      <c r="T30" s="184">
        <f t="shared" si="15"/>
        <v>1352.1224952901323</v>
      </c>
      <c r="U30" s="1032">
        <f t="shared" si="16"/>
        <v>8997.8571143856152</v>
      </c>
      <c r="V30" s="83">
        <f t="shared" si="33"/>
        <v>6.5031143468433514</v>
      </c>
      <c r="W30" s="1033">
        <f t="shared" si="24"/>
        <v>5.3813198698057958E-3</v>
      </c>
      <c r="X30" s="184">
        <f t="shared" si="17"/>
        <v>530.43088206122343</v>
      </c>
      <c r="Y30" s="401">
        <f>GlobalChipProd_TFLOPS_GB_RAM!AN29</f>
        <v>1672053.9443997657</v>
      </c>
      <c r="Z30" s="56">
        <f t="shared" si="26"/>
        <v>0.50991623818268361</v>
      </c>
      <c r="AA30" s="56">
        <f t="shared" si="27"/>
        <v>0.1</v>
      </c>
      <c r="AB30" s="288">
        <f t="shared" si="28"/>
        <v>250615.74071102488</v>
      </c>
      <c r="AF30" s="56">
        <v>0.15</v>
      </c>
      <c r="AG30" s="56">
        <v>0.74110174297576348</v>
      </c>
    </row>
    <row r="31" spans="2:33" x14ac:dyDescent="0.35">
      <c r="B31" s="149">
        <v>2041</v>
      </c>
      <c r="C31" s="4">
        <f>GlobalChipProd_TFLOPS_GB_RAM!C30</f>
        <v>0.25</v>
      </c>
      <c r="D31" s="2">
        <f t="shared" si="25"/>
        <v>118045136.3325119</v>
      </c>
      <c r="E31" s="185">
        <f>GlobalChipProd_TFLOPS_GB_RAM!F30</f>
        <v>14000</v>
      </c>
      <c r="F31" s="184">
        <f t="shared" si="18"/>
        <v>1652.6319086551664</v>
      </c>
      <c r="G31" s="2">
        <f t="shared" si="29"/>
        <v>5595.9161750357134</v>
      </c>
      <c r="H31" s="2">
        <f t="shared" si="12"/>
        <v>1329720.2156759338</v>
      </c>
      <c r="I31" s="2">
        <f t="shared" si="30"/>
        <v>4517824.051468974</v>
      </c>
      <c r="J31" s="2">
        <f t="shared" si="13"/>
        <v>34696.888715281726</v>
      </c>
      <c r="K31" s="83">
        <f t="shared" si="31"/>
        <v>312.36442585414164</v>
      </c>
      <c r="L31" s="2">
        <f t="shared" si="19"/>
        <v>74366.737240957285</v>
      </c>
      <c r="M31" s="2">
        <f t="shared" si="20"/>
        <v>671980.22581523086</v>
      </c>
      <c r="N31" s="83">
        <f t="shared" si="32"/>
        <v>21.855024882961843</v>
      </c>
      <c r="O31" s="56">
        <f t="shared" si="14"/>
        <v>0.46656462287513811</v>
      </c>
      <c r="P31" s="69">
        <f t="shared" si="21"/>
        <v>5.163379424325807E-2</v>
      </c>
      <c r="Q31" s="56">
        <f t="shared" si="34"/>
        <v>0.1</v>
      </c>
      <c r="R31" s="56">
        <f t="shared" si="35"/>
        <v>0.49364502519356707</v>
      </c>
      <c r="S31" s="188">
        <f t="shared" si="23"/>
        <v>0.02</v>
      </c>
      <c r="T31" s="184">
        <f t="shared" si="15"/>
        <v>1487.3347448191457</v>
      </c>
      <c r="U31" s="1032">
        <f t="shared" si="16"/>
        <v>13439.604516304616</v>
      </c>
      <c r="V31" s="83">
        <f t="shared" si="33"/>
        <v>9.7133443924274818</v>
      </c>
      <c r="W31" s="1033">
        <f t="shared" si="24"/>
        <v>5.381319869805795E-3</v>
      </c>
      <c r="X31" s="184">
        <f t="shared" si="17"/>
        <v>693.93777430563455</v>
      </c>
      <c r="Y31" s="401">
        <f>GlobalChipProd_TFLOPS_GB_RAM!AN30</f>
        <v>2497455.0559079912</v>
      </c>
      <c r="Z31" s="56">
        <f t="shared" si="26"/>
        <v>0.49364502519356707</v>
      </c>
      <c r="AA31" s="56">
        <f t="shared" si="27"/>
        <v>0.1</v>
      </c>
      <c r="AB31" s="288">
        <f t="shared" si="28"/>
        <v>275677.31478212739</v>
      </c>
      <c r="AF31" s="56">
        <v>0.15</v>
      </c>
      <c r="AG31" s="56">
        <v>0.73717666789510994</v>
      </c>
    </row>
    <row r="32" spans="2:33" x14ac:dyDescent="0.35">
      <c r="B32" s="149">
        <v>2042</v>
      </c>
      <c r="C32" s="4">
        <f>GlobalChipProd_TFLOPS_GB_RAM!C31</f>
        <v>0.25</v>
      </c>
      <c r="D32" s="2">
        <f t="shared" si="25"/>
        <v>147556420.41563988</v>
      </c>
      <c r="E32" s="185">
        <f>GlobalChipProd_TFLOPS_GB_RAM!F31</f>
        <v>13000</v>
      </c>
      <c r="F32" s="184">
        <f t="shared" si="18"/>
        <v>1918.2334654033184</v>
      </c>
      <c r="G32" s="2">
        <f t="shared" si="29"/>
        <v>5856.6991433307585</v>
      </c>
      <c r="H32" s="2">
        <f t="shared" si="12"/>
        <v>1739610.4150829983</v>
      </c>
      <c r="I32" s="2">
        <f t="shared" si="30"/>
        <v>5910456.7117172219</v>
      </c>
      <c r="J32" s="2">
        <f t="shared" si="13"/>
        <v>45392.307545988268</v>
      </c>
      <c r="K32" s="83">
        <f t="shared" si="31"/>
        <v>408.65168635573775</v>
      </c>
      <c r="L32" s="2">
        <f t="shared" si="19"/>
        <v>81803.410965053015</v>
      </c>
      <c r="M32" s="2">
        <f t="shared" si="20"/>
        <v>970434.92264420935</v>
      </c>
      <c r="N32" s="83">
        <f t="shared" si="32"/>
        <v>31.561761145507258</v>
      </c>
      <c r="O32" s="56">
        <f t="shared" si="14"/>
        <v>0.55489504667941258</v>
      </c>
      <c r="P32" s="69">
        <f t="shared" si="21"/>
        <v>4.6775220560184287E-2</v>
      </c>
      <c r="Q32" s="56">
        <f t="shared" si="34"/>
        <v>0.1</v>
      </c>
      <c r="R32" s="56">
        <f t="shared" si="35"/>
        <v>0.44414208240562464</v>
      </c>
      <c r="S32" s="188">
        <f t="shared" si="23"/>
        <v>0.02</v>
      </c>
      <c r="T32" s="184">
        <f t="shared" si="15"/>
        <v>1636.0682193010603</v>
      </c>
      <c r="U32" s="1032">
        <f t="shared" si="16"/>
        <v>19408.698452884186</v>
      </c>
      <c r="V32" s="83">
        <f t="shared" si="33"/>
        <v>14.02744939800322</v>
      </c>
      <c r="W32" s="1033">
        <f t="shared" si="24"/>
        <v>5.381319869805795E-3</v>
      </c>
      <c r="X32" s="184">
        <f t="shared" si="17"/>
        <v>907.84615091976536</v>
      </c>
      <c r="Y32" s="401">
        <f>GlobalChipProd_TFLOPS_GB_RAM!AN31</f>
        <v>3606679.9451534222</v>
      </c>
      <c r="Z32" s="56">
        <f t="shared" si="26"/>
        <v>0.44414208240562464</v>
      </c>
      <c r="AA32" s="56">
        <f t="shared" si="27"/>
        <v>0.1</v>
      </c>
      <c r="AB32" s="288">
        <f t="shared" si="28"/>
        <v>303245.04626034014</v>
      </c>
      <c r="AF32" s="56">
        <v>0.15</v>
      </c>
      <c r="AG32" s="56">
        <v>0.69280759112293522</v>
      </c>
    </row>
    <row r="33" spans="2:33" x14ac:dyDescent="0.35">
      <c r="B33" s="149">
        <v>2043</v>
      </c>
      <c r="C33" s="4">
        <f>GlobalChipProd_TFLOPS_GB_RAM!C32</f>
        <v>0.25</v>
      </c>
      <c r="D33" s="2">
        <f t="shared" si="25"/>
        <v>184445525.51954985</v>
      </c>
      <c r="E33" s="185">
        <f>GlobalChipProd_TFLOPS_GB_RAM!F32</f>
        <v>12000</v>
      </c>
      <c r="F33" s="184">
        <f t="shared" si="18"/>
        <v>2213.3463062345982</v>
      </c>
      <c r="G33" s="2">
        <f t="shared" si="29"/>
        <v>6129.6352165733306</v>
      </c>
      <c r="H33" s="2">
        <f t="shared" si="12"/>
        <v>2275850.4838756002</v>
      </c>
      <c r="I33" s="2">
        <f t="shared" si="30"/>
        <v>7732372.5189617556</v>
      </c>
      <c r="J33" s="2">
        <f t="shared" si="13"/>
        <v>59384.62094562628</v>
      </c>
      <c r="K33" s="83">
        <f t="shared" si="31"/>
        <v>534.61978042072894</v>
      </c>
      <c r="L33" s="2">
        <f t="shared" si="19"/>
        <v>89983.75206155832</v>
      </c>
      <c r="M33" s="2">
        <f t="shared" si="20"/>
        <v>1389936.5465011934</v>
      </c>
      <c r="N33" s="83">
        <f t="shared" si="32"/>
        <v>45.205344804110631</v>
      </c>
      <c r="O33" s="56">
        <f t="shared" si="14"/>
        <v>0.65994826382657368</v>
      </c>
      <c r="P33" s="69">
        <f t="shared" si="21"/>
        <v>4.2724699264230254E-2</v>
      </c>
      <c r="Q33" s="56">
        <f t="shared" si="34"/>
        <v>0.1</v>
      </c>
      <c r="R33" s="56">
        <f>Z33</f>
        <v>0.43228207690005621</v>
      </c>
      <c r="S33" s="188">
        <v>1.4999999999999999E-2</v>
      </c>
      <c r="T33" s="184">
        <f t="shared" si="15"/>
        <v>1349.7562809233748</v>
      </c>
      <c r="U33" s="1032">
        <f t="shared" si="16"/>
        <v>20849.048197517903</v>
      </c>
      <c r="V33" s="83">
        <f t="shared" si="33"/>
        <v>15.068448268036873</v>
      </c>
      <c r="W33" s="1033">
        <f t="shared" si="24"/>
        <v>4.0359899023543469E-3</v>
      </c>
      <c r="X33" s="184">
        <f t="shared" si="17"/>
        <v>890.76931418439415</v>
      </c>
      <c r="Y33" s="401">
        <f>GlobalChipProd_TFLOPS_GB_RAM!AN32</f>
        <v>5165783.0425581243</v>
      </c>
      <c r="Z33" s="56">
        <f t="shared" si="26"/>
        <v>0.43228207690005621</v>
      </c>
      <c r="AA33" s="56">
        <f t="shared" si="27"/>
        <v>0.1</v>
      </c>
      <c r="AB33" s="288">
        <f t="shared" si="28"/>
        <v>333569.5508863742</v>
      </c>
      <c r="AF33" s="56">
        <v>0.15</v>
      </c>
      <c r="AG33" s="56">
        <v>0.7501378459918171</v>
      </c>
    </row>
    <row r="34" spans="2:33" x14ac:dyDescent="0.35">
      <c r="B34" s="149">
        <v>2044</v>
      </c>
      <c r="C34" s="4">
        <f>GlobalChipProd_TFLOPS_GB_RAM!C33</f>
        <v>0.25</v>
      </c>
      <c r="D34" s="2">
        <f t="shared" si="25"/>
        <v>230556906.89943731</v>
      </c>
      <c r="E34" s="185">
        <f>GlobalChipProd_TFLOPS_GB_RAM!F33</f>
        <v>11000</v>
      </c>
      <c r="F34" s="184">
        <f t="shared" si="18"/>
        <v>2536.1259758938104</v>
      </c>
      <c r="G34" s="2">
        <f t="shared" si="29"/>
        <v>6415.2907582833759</v>
      </c>
      <c r="H34" s="2">
        <f t="shared" si="12"/>
        <v>2977388.1439481289</v>
      </c>
      <c r="I34" s="2">
        <f t="shared" si="30"/>
        <v>10115899.276187019</v>
      </c>
      <c r="J34" s="2">
        <f t="shared" si="13"/>
        <v>77690.106441116324</v>
      </c>
      <c r="K34" s="83">
        <f t="shared" si="31"/>
        <v>699.41791300550062</v>
      </c>
      <c r="L34" s="2">
        <f t="shared" si="19"/>
        <v>98982.127267714153</v>
      </c>
      <c r="M34" s="2">
        <f t="shared" si="20"/>
        <v>1942686.1706126018</v>
      </c>
      <c r="N34" s="83">
        <f t="shared" si="32"/>
        <v>63.182595212553863</v>
      </c>
      <c r="O34" s="56">
        <f t="shared" si="14"/>
        <v>0.78489024822622877</v>
      </c>
      <c r="P34" s="69">
        <f t="shared" si="21"/>
        <v>3.9991074017177837E-2</v>
      </c>
      <c r="Q34" s="56">
        <f t="shared" si="34"/>
        <v>0.1</v>
      </c>
      <c r="R34" s="56">
        <f t="shared" si="35"/>
        <v>0.39767975416058582</v>
      </c>
      <c r="S34" s="188">
        <f t="shared" si="23"/>
        <v>1.4999999999999999E-2</v>
      </c>
      <c r="T34" s="184">
        <f t="shared" si="15"/>
        <v>1484.7319090157123</v>
      </c>
      <c r="U34" s="1032">
        <f t="shared" si="16"/>
        <v>29140.292559189023</v>
      </c>
      <c r="V34" s="83">
        <f t="shared" si="33"/>
        <v>21.060865070851278</v>
      </c>
      <c r="W34" s="1033">
        <f t="shared" si="24"/>
        <v>4.035989902354346E-3</v>
      </c>
      <c r="X34" s="184">
        <f t="shared" si="17"/>
        <v>1165.3515966167449</v>
      </c>
      <c r="Y34" s="401">
        <f>GlobalChipProd_TFLOPS_GB_RAM!AN33</f>
        <v>7220110.3729695622</v>
      </c>
      <c r="Z34" s="56">
        <f t="shared" si="26"/>
        <v>0.39767975416058582</v>
      </c>
      <c r="AA34" s="56">
        <f t="shared" si="27"/>
        <v>0.1</v>
      </c>
      <c r="AB34" s="288">
        <f t="shared" si="28"/>
        <v>366926.50597501168</v>
      </c>
      <c r="AF34" s="56">
        <v>0.15</v>
      </c>
      <c r="AG34" s="56">
        <v>0.70032107214950612</v>
      </c>
    </row>
    <row r="35" spans="2:33" ht="15" thickBot="1" x14ac:dyDescent="0.4">
      <c r="B35" s="517">
        <v>2045</v>
      </c>
      <c r="C35" s="657">
        <f>GlobalChipProd_TFLOPS_GB_RAM!C34</f>
        <v>0.25</v>
      </c>
      <c r="D35" s="91">
        <f>D34*(1+C35)</f>
        <v>288196133.62429667</v>
      </c>
      <c r="E35" s="520">
        <f>GlobalChipProd_TFLOPS_GB_RAM!F34</f>
        <v>10000</v>
      </c>
      <c r="F35" s="520">
        <f>(D35*E35)/AE$6</f>
        <v>2881.9613362429668</v>
      </c>
      <c r="G35" s="91">
        <f t="shared" si="29"/>
        <v>6714.2585258643885</v>
      </c>
      <c r="H35" s="91">
        <f t="shared" si="12"/>
        <v>3895176.8679578365</v>
      </c>
      <c r="I35" s="91">
        <f>SUM(H30:H35)</f>
        <v>13234155.224029656</v>
      </c>
      <c r="J35" s="91">
        <f t="shared" si="13"/>
        <v>101638.31212054777</v>
      </c>
      <c r="K35" s="660">
        <f t="shared" si="31"/>
        <v>915.01555862373129</v>
      </c>
      <c r="L35" s="91">
        <f t="shared" si="19"/>
        <v>108880.33999448558</v>
      </c>
      <c r="M35" s="91">
        <f t="shared" si="20"/>
        <v>2723755.379094712</v>
      </c>
      <c r="N35" s="660">
        <f t="shared" si="32"/>
        <v>88.585555494580845</v>
      </c>
      <c r="O35" s="519">
        <f>J35/L35</f>
        <v>0.93348635874663322</v>
      </c>
      <c r="P35" s="523">
        <f t="shared" si="21"/>
        <v>3.7315506708362721E-2</v>
      </c>
      <c r="Q35" s="519">
        <f t="shared" si="34"/>
        <v>0.1</v>
      </c>
      <c r="R35" s="519">
        <f t="shared" si="35"/>
        <v>0.40205629725351355</v>
      </c>
      <c r="S35" s="650">
        <f t="shared" si="23"/>
        <v>1.4999999999999999E-2</v>
      </c>
      <c r="T35" s="520">
        <f t="shared" si="15"/>
        <v>1633.2050999172836</v>
      </c>
      <c r="U35" s="583">
        <f t="shared" si="16"/>
        <v>40856.330686420682</v>
      </c>
      <c r="V35" s="660">
        <f t="shared" si="33"/>
        <v>29.528518498193606</v>
      </c>
      <c r="W35" s="665">
        <f t="shared" si="24"/>
        <v>4.0359899023543469E-3</v>
      </c>
      <c r="X35" s="520">
        <f t="shared" si="17"/>
        <v>1524.5746818082164</v>
      </c>
      <c r="Y35" s="583">
        <f>GlobalChipProd_TFLOPS_GB_RAM!AN34</f>
        <v>10123001.215287389</v>
      </c>
      <c r="Z35" s="519">
        <f t="shared" si="26"/>
        <v>0.40205629725351355</v>
      </c>
      <c r="AA35" s="519">
        <f t="shared" si="27"/>
        <v>0.1</v>
      </c>
      <c r="AB35" s="658">
        <f t="shared" si="28"/>
        <v>403619.15657251287</v>
      </c>
      <c r="AF35" s="163">
        <v>0.15</v>
      </c>
      <c r="AG35" s="56">
        <v>0.6650201498193552</v>
      </c>
    </row>
    <row r="36" spans="2:33" ht="15" thickTop="1" x14ac:dyDescent="0.35">
      <c r="B36" s="149">
        <v>2046</v>
      </c>
      <c r="C36" s="4">
        <f>GlobalChipProd_TFLOPS_GB_RAM!C35</f>
        <v>0.25</v>
      </c>
      <c r="D36" s="2">
        <f t="shared" ref="D36:D40" si="36">D35*(1+C36)</f>
        <v>360245167.03037083</v>
      </c>
      <c r="E36" s="185">
        <f>GlobalChipProd_TFLOPS_GB_RAM!F35</f>
        <v>10000</v>
      </c>
      <c r="F36" s="185">
        <f t="shared" ref="F36:F40" si="37">(D36*E36)/AE$6</f>
        <v>3602.4516703037084</v>
      </c>
      <c r="G36" s="2">
        <f t="shared" si="29"/>
        <v>7027.1589006209942</v>
      </c>
      <c r="H36" s="2">
        <f t="shared" si="12"/>
        <v>5095876.6875972841</v>
      </c>
      <c r="I36" s="2">
        <f t="shared" ref="I36:I40" si="38">SUM(H31:H36)</f>
        <v>17313622.814137779</v>
      </c>
      <c r="J36" s="2">
        <f t="shared" ref="J36:J40" si="39">(I36*AF$2*AF$3)/AE$5</f>
        <v>132968.62321257815</v>
      </c>
      <c r="K36" s="83">
        <f t="shared" si="31"/>
        <v>1197.0718178001748</v>
      </c>
      <c r="L36" s="2">
        <f t="shared" ref="L36:L40" si="40">L35*(1+Q36)</f>
        <v>119768.37399393415</v>
      </c>
      <c r="M36" s="2">
        <f t="shared" ref="M36:M40" si="41">M35*(1+R36)</f>
        <v>3828348.3579759323</v>
      </c>
      <c r="N36" s="83">
        <f t="shared" si="32"/>
        <v>124.51058142775742</v>
      </c>
      <c r="O36" s="56">
        <f t="shared" ref="O36:O39" si="42">J36/L36</f>
        <v>1.1102148153010123</v>
      </c>
      <c r="P36" s="69">
        <f t="shared" ref="P36:P40" si="43">J36/M36</f>
        <v>3.4732634227382424E-2</v>
      </c>
      <c r="Q36" s="56">
        <f t="shared" ref="Q36:Q40" si="44">AA36</f>
        <v>0.1</v>
      </c>
      <c r="R36" s="56">
        <f>Z36</f>
        <v>0.40554044880798035</v>
      </c>
      <c r="S36" s="188">
        <f t="shared" si="23"/>
        <v>1.4999999999999999E-2</v>
      </c>
      <c r="T36" s="185">
        <f t="shared" ref="T36:T40" si="45">((L36*AE$6)*S36)/AE$6</f>
        <v>1796.525609909012</v>
      </c>
      <c r="U36" s="401">
        <f t="shared" ref="U36:U40" si="46">((M36*$AE$6)*$S36)/$AE$6</f>
        <v>57425.225369638982</v>
      </c>
      <c r="V36" s="83">
        <f t="shared" si="33"/>
        <v>41.503527142585789</v>
      </c>
      <c r="W36" s="255">
        <f t="shared" ref="W36:W40" si="47">U36/Y36</f>
        <v>4.035989902354346E-3</v>
      </c>
      <c r="X36" s="185">
        <f t="shared" ref="X36:X40" si="48">((J36*AE$6)*S36)/AE$6</f>
        <v>1994.5293481886724</v>
      </c>
      <c r="Y36" s="401">
        <f>GlobalChipProd_TFLOPS_GB_RAM!AN35</f>
        <v>14228287.671418767</v>
      </c>
      <c r="Z36" s="56">
        <f t="shared" ref="Z36:Z40" si="49">(Y36-Y35)/Y35</f>
        <v>0.40554044880798035</v>
      </c>
      <c r="AA36" s="56">
        <f t="shared" si="27"/>
        <v>0.1</v>
      </c>
      <c r="AB36" s="932">
        <f t="shared" ref="AB36:AB40" si="50">AB35*(1+AA36)</f>
        <v>443981.07222976419</v>
      </c>
    </row>
    <row r="37" spans="2:33" x14ac:dyDescent="0.35">
      <c r="B37" s="149">
        <v>2047</v>
      </c>
      <c r="C37" s="4">
        <f>GlobalChipProd_TFLOPS_GB_RAM!C36</f>
        <v>0.25</v>
      </c>
      <c r="D37" s="2">
        <f t="shared" si="36"/>
        <v>450306458.78796351</v>
      </c>
      <c r="E37" s="185">
        <f>GlobalChipProd_TFLOPS_GB_RAM!F36</f>
        <v>10000</v>
      </c>
      <c r="F37" s="185">
        <f t="shared" si="37"/>
        <v>4503.0645878796349</v>
      </c>
      <c r="G37" s="2">
        <f>G36*(1+G$3)</f>
        <v>7354.6411750982725</v>
      </c>
      <c r="H37" s="2">
        <f t="shared" si="12"/>
        <v>6666695.7869905289</v>
      </c>
      <c r="I37" s="2">
        <f>SUM(H32:H37)</f>
        <v>22650598.385452375</v>
      </c>
      <c r="J37" s="2">
        <f t="shared" si="39"/>
        <v>173956.59560027422</v>
      </c>
      <c r="K37" s="83">
        <f t="shared" si="31"/>
        <v>1566.0727552291589</v>
      </c>
      <c r="L37" s="2">
        <f t="shared" si="40"/>
        <v>131745.21139332757</v>
      </c>
      <c r="M37" s="2">
        <f t="shared" si="41"/>
        <v>5391457.854677625</v>
      </c>
      <c r="N37" s="83">
        <f t="shared" si="32"/>
        <v>175.34808472447295</v>
      </c>
      <c r="O37" s="56">
        <f t="shared" si="42"/>
        <v>1.3204016583261144</v>
      </c>
      <c r="P37" s="69">
        <f t="shared" si="43"/>
        <v>3.226522404313141E-2</v>
      </c>
      <c r="Q37" s="56">
        <f t="shared" si="44"/>
        <v>0.1</v>
      </c>
      <c r="R37" s="56">
        <f t="shared" ref="R37:R40" si="51">Z37</f>
        <v>0.40829865794347836</v>
      </c>
      <c r="S37" s="188">
        <f t="shared" si="23"/>
        <v>1.4999999999999999E-2</v>
      </c>
      <c r="T37" s="185">
        <f t="shared" si="45"/>
        <v>1976.1781708999133</v>
      </c>
      <c r="U37" s="401">
        <f t="shared" si="46"/>
        <v>80871.867820164378</v>
      </c>
      <c r="V37" s="83">
        <f t="shared" si="33"/>
        <v>58.449361574824302</v>
      </c>
      <c r="W37" s="255">
        <f t="shared" si="47"/>
        <v>4.0359899023543469E-3</v>
      </c>
      <c r="X37" s="185">
        <f t="shared" si="48"/>
        <v>2609.3489340041133</v>
      </c>
      <c r="Y37" s="401">
        <f>GlobalChipProd_TFLOPS_GB_RAM!AN36</f>
        <v>20037678.432492789</v>
      </c>
      <c r="Z37" s="56">
        <f t="shared" si="49"/>
        <v>0.40829865794347836</v>
      </c>
      <c r="AA37" s="56">
        <f t="shared" si="27"/>
        <v>0.1</v>
      </c>
      <c r="AB37" s="932">
        <f t="shared" si="50"/>
        <v>488379.17945274065</v>
      </c>
    </row>
    <row r="38" spans="2:33" x14ac:dyDescent="0.35">
      <c r="B38" s="149">
        <v>2048</v>
      </c>
      <c r="C38" s="4">
        <f>GlobalChipProd_TFLOPS_GB_RAM!C37</f>
        <v>0.25</v>
      </c>
      <c r="D38" s="2">
        <f t="shared" si="36"/>
        <v>562883073.48495436</v>
      </c>
      <c r="E38" s="185">
        <f>GlobalChipProd_TFLOPS_GB_RAM!F37</f>
        <v>10000</v>
      </c>
      <c r="F38" s="185">
        <f t="shared" si="37"/>
        <v>5628.8307348495437</v>
      </c>
      <c r="G38" s="2">
        <f t="shared" si="29"/>
        <v>7697.3849004141439</v>
      </c>
      <c r="H38" s="2">
        <f t="shared" si="12"/>
        <v>8721724.5316101033</v>
      </c>
      <c r="I38" s="2">
        <f t="shared" si="38"/>
        <v>29632712.501979478</v>
      </c>
      <c r="J38" s="2">
        <f t="shared" si="39"/>
        <v>227579.2320152024</v>
      </c>
      <c r="K38" s="83">
        <f t="shared" si="31"/>
        <v>2048.819325792912</v>
      </c>
      <c r="L38" s="2">
        <f>L37*(1+Q38)</f>
        <v>144919.73253266033</v>
      </c>
      <c r="M38" s="2">
        <f t="shared" si="41"/>
        <v>7604503.0402176483</v>
      </c>
      <c r="N38" s="83">
        <f t="shared" si="32"/>
        <v>247.32365147335969</v>
      </c>
      <c r="O38" s="56">
        <f t="shared" si="42"/>
        <v>1.5703812589076731</v>
      </c>
      <c r="P38" s="69">
        <f t="shared" si="43"/>
        <v>2.9926903942520993E-2</v>
      </c>
      <c r="Q38" s="56">
        <f t="shared" si="44"/>
        <v>0.1</v>
      </c>
      <c r="R38" s="56">
        <f t="shared" si="51"/>
        <v>0.4104725002384999</v>
      </c>
      <c r="S38" s="188">
        <f t="shared" si="23"/>
        <v>1.4999999999999999E-2</v>
      </c>
      <c r="T38" s="185">
        <f t="shared" si="45"/>
        <v>2173.7959879899049</v>
      </c>
      <c r="U38" s="401">
        <f t="shared" si="46"/>
        <v>114067.54560326472</v>
      </c>
      <c r="V38" s="83">
        <f t="shared" si="33"/>
        <v>82.441217157786525</v>
      </c>
      <c r="W38" s="255">
        <f t="shared" si="47"/>
        <v>4.0359899023543469E-3</v>
      </c>
      <c r="X38" s="185">
        <f t="shared" si="48"/>
        <v>3413.688480228036</v>
      </c>
      <c r="Y38" s="401">
        <f>GlobalChipProd_TFLOPS_GB_RAM!AN37</f>
        <v>28262594.39765317</v>
      </c>
      <c r="Z38" s="56">
        <f t="shared" si="49"/>
        <v>0.4104725002384999</v>
      </c>
      <c r="AA38" s="56">
        <f t="shared" si="27"/>
        <v>0.1</v>
      </c>
      <c r="AB38" s="932">
        <f t="shared" si="50"/>
        <v>537217.09739801474</v>
      </c>
    </row>
    <row r="39" spans="2:33" x14ac:dyDescent="0.35">
      <c r="B39" s="149">
        <v>2049</v>
      </c>
      <c r="C39" s="4">
        <f>GlobalChipProd_TFLOPS_GB_RAM!C38</f>
        <v>0.25</v>
      </c>
      <c r="D39" s="2">
        <f t="shared" si="36"/>
        <v>703603841.85619295</v>
      </c>
      <c r="E39" s="185">
        <f>GlobalChipProd_TFLOPS_GB_RAM!F38</f>
        <v>10000</v>
      </c>
      <c r="F39" s="185">
        <f t="shared" si="37"/>
        <v>7036.0384185619296</v>
      </c>
      <c r="G39" s="2">
        <f t="shared" si="29"/>
        <v>8056.1012963806443</v>
      </c>
      <c r="H39" s="2">
        <f t="shared" si="12"/>
        <v>11410221.980389507</v>
      </c>
      <c r="I39" s="2">
        <f t="shared" si="38"/>
        <v>38767083.998493388</v>
      </c>
      <c r="J39" s="2">
        <f t="shared" si="39"/>
        <v>297731.20510842919</v>
      </c>
      <c r="K39" s="83">
        <f t="shared" si="31"/>
        <v>2680.3739581870764</v>
      </c>
      <c r="L39" s="2">
        <f t="shared" si="40"/>
        <v>159411.70578592637</v>
      </c>
      <c r="M39" s="2">
        <f t="shared" si="41"/>
        <v>10738925.517306289</v>
      </c>
      <c r="N39" s="83">
        <f t="shared" si="32"/>
        <v>349.26546255475131</v>
      </c>
      <c r="O39" s="56">
        <f t="shared" si="42"/>
        <v>1.8676872168236613</v>
      </c>
      <c r="P39" s="69">
        <f t="shared" si="43"/>
        <v>2.7724487392022712E-2</v>
      </c>
      <c r="Q39" s="56">
        <f t="shared" si="44"/>
        <v>0.1</v>
      </c>
      <c r="R39" s="56">
        <f t="shared" si="51"/>
        <v>0.41217979143564526</v>
      </c>
      <c r="S39" s="188">
        <f t="shared" si="23"/>
        <v>1.4999999999999999E-2</v>
      </c>
      <c r="T39" s="185">
        <f t="shared" si="45"/>
        <v>2391.1755867888955</v>
      </c>
      <c r="U39" s="401">
        <f t="shared" si="46"/>
        <v>161083.8827595943</v>
      </c>
      <c r="V39" s="83">
        <f t="shared" si="33"/>
        <v>116.4218208515837</v>
      </c>
      <c r="W39" s="255">
        <f t="shared" si="47"/>
        <v>4.035989902354346E-3</v>
      </c>
      <c r="X39" s="185">
        <f t="shared" si="48"/>
        <v>4465.9680766264373</v>
      </c>
      <c r="Y39" s="401">
        <f>GlobalChipProd_TFLOPS_GB_RAM!AN38</f>
        <v>39911864.66190809</v>
      </c>
      <c r="Z39" s="56">
        <f t="shared" si="49"/>
        <v>0.41217979143564526</v>
      </c>
      <c r="AA39" s="56">
        <f t="shared" si="27"/>
        <v>0.1</v>
      </c>
      <c r="AB39" s="932">
        <f t="shared" si="50"/>
        <v>590938.80713781621</v>
      </c>
    </row>
    <row r="40" spans="2:33" ht="15" thickBot="1" x14ac:dyDescent="0.4">
      <c r="B40" s="1147">
        <v>2050</v>
      </c>
      <c r="C40" s="1148">
        <f>GlobalChipProd_TFLOPS_GB_RAM!C39</f>
        <v>0.25</v>
      </c>
      <c r="D40" s="684">
        <f t="shared" si="36"/>
        <v>879504802.32024121</v>
      </c>
      <c r="E40" s="1149">
        <f>GlobalChipProd_TFLOPS_GB_RAM!F39</f>
        <v>10000</v>
      </c>
      <c r="F40" s="1149">
        <f t="shared" si="37"/>
        <v>8795.0480232024129</v>
      </c>
      <c r="G40" s="684">
        <f t="shared" si="29"/>
        <v>8431.5347273401949</v>
      </c>
      <c r="H40" s="684">
        <f t="shared" si="12"/>
        <v>14927456.739765793</v>
      </c>
      <c r="I40" s="684">
        <f t="shared" si="38"/>
        <v>50717152.594311051</v>
      </c>
      <c r="J40" s="684">
        <f t="shared" si="39"/>
        <v>389507.73192430881</v>
      </c>
      <c r="K40" s="1158">
        <f t="shared" si="31"/>
        <v>3506.6071787208589</v>
      </c>
      <c r="L40" s="684">
        <f t="shared" si="40"/>
        <v>175352.87636451903</v>
      </c>
      <c r="M40" s="684">
        <f t="shared" si="41"/>
        <v>15179653.542096158</v>
      </c>
      <c r="N40" s="1158">
        <f t="shared" si="32"/>
        <v>493.69266108206972</v>
      </c>
      <c r="O40" s="1150">
        <f>J40/L40</f>
        <v>2.2212793995726092</v>
      </c>
      <c r="P40" s="1161">
        <f t="shared" si="43"/>
        <v>2.5659856520712242E-2</v>
      </c>
      <c r="Q40" s="1150">
        <f t="shared" si="44"/>
        <v>0.1</v>
      </c>
      <c r="R40" s="1150">
        <f t="shared" si="51"/>
        <v>0.41351697780503521</v>
      </c>
      <c r="S40" s="1162">
        <f t="shared" si="23"/>
        <v>1.4999999999999999E-2</v>
      </c>
      <c r="T40" s="1149">
        <f t="shared" si="45"/>
        <v>2630.2931454677851</v>
      </c>
      <c r="U40" s="674">
        <f t="shared" si="46"/>
        <v>227694.80313144237</v>
      </c>
      <c r="V40" s="1158">
        <f t="shared" si="33"/>
        <v>164.56422036068986</v>
      </c>
      <c r="W40" s="1155">
        <f t="shared" si="47"/>
        <v>4.035989902354346E-3</v>
      </c>
      <c r="X40" s="1149">
        <f t="shared" si="48"/>
        <v>5842.6159788646319</v>
      </c>
      <c r="Y40" s="674">
        <f>GlobalChipProd_TFLOPS_GB_RAM!AN39</f>
        <v>56416098.315463908</v>
      </c>
      <c r="Z40" s="1150">
        <f t="shared" si="49"/>
        <v>0.41351697780503521</v>
      </c>
      <c r="AA40" s="1150">
        <f t="shared" si="27"/>
        <v>0.1</v>
      </c>
      <c r="AB40" s="1157">
        <f t="shared" si="50"/>
        <v>650032.6878515979</v>
      </c>
    </row>
    <row r="41" spans="2:33" ht="15" thickTop="1" x14ac:dyDescent="0.35"/>
    <row r="43" spans="2:33" ht="24" thickBot="1" x14ac:dyDescent="0.6">
      <c r="B43" s="30" t="s">
        <v>38</v>
      </c>
      <c r="C43" s="31"/>
      <c r="D43" s="31"/>
      <c r="E43" s="31"/>
      <c r="F43" s="31"/>
      <c r="G43" s="31"/>
      <c r="H43" s="31"/>
      <c r="I43" s="31"/>
      <c r="J43" s="31"/>
      <c r="K43" s="31"/>
      <c r="L43" s="31"/>
      <c r="M43" s="31"/>
      <c r="N43" s="31"/>
      <c r="O43" s="147"/>
      <c r="P43" s="31"/>
      <c r="Q43" s="31"/>
      <c r="R43" s="31"/>
      <c r="S43" s="147"/>
      <c r="T43" s="31"/>
      <c r="U43" s="31"/>
      <c r="V43" s="31"/>
      <c r="W43" s="31"/>
      <c r="X43" s="147"/>
      <c r="Y43" s="31"/>
      <c r="Z43" s="31"/>
      <c r="AA43" s="31"/>
      <c r="AC43" s="82" t="s">
        <v>32</v>
      </c>
    </row>
    <row r="44" spans="2:33" ht="15" thickTop="1" x14ac:dyDescent="0.35">
      <c r="B44" s="76" t="s">
        <v>7</v>
      </c>
      <c r="C44" s="77" t="str">
        <f t="shared" ref="C44:J46" si="52">C5</f>
        <v>Annual</v>
      </c>
      <c r="D44" s="77" t="str">
        <f t="shared" si="52"/>
        <v># of new AI</v>
      </c>
      <c r="E44" s="77" t="str">
        <f t="shared" ref="E44" si="53">E5</f>
        <v>USD for</v>
      </c>
      <c r="F44" s="77" t="str">
        <f t="shared" si="52"/>
        <v>Value of AI</v>
      </c>
      <c r="G44" s="77" t="str">
        <f t="shared" ref="G44:G46" si="54">G5</f>
        <v>Watt use</v>
      </c>
      <c r="H44" s="77" t="str">
        <f t="shared" si="52"/>
        <v>Power for</v>
      </c>
      <c r="I44" s="168" t="str">
        <f t="shared" si="52"/>
        <v xml:space="preserve">Global power </v>
      </c>
      <c r="J44" s="77" t="str">
        <f t="shared" si="52"/>
        <v>Global use</v>
      </c>
      <c r="K44" s="77"/>
      <c r="L44" s="77" t="str">
        <f t="shared" ref="L44:R44" si="55">L5</f>
        <v>Global elec.</v>
      </c>
      <c r="M44" s="77" t="str">
        <f t="shared" si="55"/>
        <v>Global elec.</v>
      </c>
      <c r="N44" s="77"/>
      <c r="O44" s="77" t="str">
        <f t="shared" si="55"/>
        <v>Power use for</v>
      </c>
      <c r="P44" s="77" t="str">
        <f t="shared" si="55"/>
        <v>Power use for</v>
      </c>
      <c r="Q44" s="77" t="str">
        <f t="shared" si="55"/>
        <v>Assumed</v>
      </c>
      <c r="R44" s="77" t="str">
        <f t="shared" si="55"/>
        <v>Assumed</v>
      </c>
      <c r="S44" s="77" t="str">
        <f t="shared" ref="S44:W44" si="56">S5</f>
        <v xml:space="preserve">Cost of </v>
      </c>
      <c r="T44" s="77" t="str">
        <f t="shared" si="56"/>
        <v>Value global</v>
      </c>
      <c r="U44" s="77" t="str">
        <f t="shared" si="56"/>
        <v>Value global</v>
      </c>
      <c r="V44" s="77"/>
      <c r="W44" s="77" t="str">
        <f t="shared" si="56"/>
        <v>Value global</v>
      </c>
      <c r="X44" s="77" t="str">
        <f>X5</f>
        <v xml:space="preserve">Cost of AI </v>
      </c>
      <c r="Y44" s="77" t="str">
        <f t="shared" ref="Y44:Z44" si="57">Y5</f>
        <v>Predicted global GDP</v>
      </c>
      <c r="Z44" s="77" t="str">
        <f t="shared" si="57"/>
        <v xml:space="preserve">Predicted global </v>
      </c>
      <c r="AA44" s="77" t="s">
        <v>924</v>
      </c>
      <c r="AB44" s="78" t="str">
        <f>AB5</f>
        <v>Pridicted human</v>
      </c>
    </row>
    <row r="45" spans="2:33" x14ac:dyDescent="0.35">
      <c r="B45" s="21">
        <v>2008</v>
      </c>
      <c r="C45" s="120" t="str">
        <f t="shared" si="52"/>
        <v>growth</v>
      </c>
      <c r="D45" s="120" t="str">
        <f t="shared" si="52"/>
        <v>chipsets sold</v>
      </c>
      <c r="E45" s="120" t="str">
        <f t="shared" ref="E45" si="58">E6</f>
        <v>one AI</v>
      </c>
      <c r="F45" s="120" t="str">
        <f t="shared" si="52"/>
        <v>chip sales</v>
      </c>
      <c r="G45" s="121" t="str">
        <f t="shared" si="54"/>
        <v>for one AI</v>
      </c>
      <c r="H45" s="121" t="str">
        <f t="shared" si="52"/>
        <v>new compute</v>
      </c>
      <c r="I45" s="179" t="str">
        <f t="shared" si="52"/>
        <v>for AI compute</v>
      </c>
      <c r="J45" s="121" t="str">
        <f t="shared" si="52"/>
        <v>electricity</v>
      </c>
      <c r="K45" s="121"/>
      <c r="L45" s="121" t="str">
        <f t="shared" ref="L45:P45" si="59">L6</f>
        <v>production</v>
      </c>
      <c r="M45" s="121" t="str">
        <f t="shared" si="59"/>
        <v>production</v>
      </c>
      <c r="N45" s="121"/>
      <c r="O45" s="121" t="str">
        <f t="shared" si="59"/>
        <v>AI in % of global</v>
      </c>
      <c r="P45" s="121" t="str">
        <f t="shared" si="59"/>
        <v>AI in % of global</v>
      </c>
      <c r="Q45" s="125">
        <v>20000</v>
      </c>
      <c r="R45" s="121" t="str">
        <f t="shared" ref="R45:W45" si="60">R6</f>
        <v>growth in</v>
      </c>
      <c r="S45" s="121" t="str">
        <f t="shared" si="60"/>
        <v>1kWh of</v>
      </c>
      <c r="T45" s="121" t="str">
        <f t="shared" si="60"/>
        <v>elec. prod.</v>
      </c>
      <c r="U45" s="121" t="str">
        <f t="shared" si="60"/>
        <v>elec. prod.</v>
      </c>
      <c r="V45" s="121"/>
      <c r="W45" s="121" t="str">
        <f t="shared" si="60"/>
        <v>elec. prod.</v>
      </c>
      <c r="X45" s="121" t="str">
        <f>X6</f>
        <v>electricity</v>
      </c>
      <c r="Y45" s="121" t="str">
        <f t="shared" ref="Y45:Z45" si="61">Y6</f>
        <v>human+android</v>
      </c>
      <c r="Z45" s="121" t="str">
        <f t="shared" si="61"/>
        <v>growth % in GDP</v>
      </c>
      <c r="AA45" s="187">
        <v>64140</v>
      </c>
      <c r="AB45" s="291" t="str">
        <f>AB6</f>
        <v>based global GDP</v>
      </c>
    </row>
    <row r="46" spans="2:33" x14ac:dyDescent="0.35">
      <c r="B46" s="21">
        <v>2022</v>
      </c>
      <c r="C46" s="120" t="str">
        <f t="shared" si="52"/>
        <v>AI chipset</v>
      </c>
      <c r="D46" s="120" t="str">
        <f t="shared" si="52"/>
        <v>globally</v>
      </c>
      <c r="E46" s="120" t="str">
        <f t="shared" ref="E46" si="62">E7</f>
        <v>chipset</v>
      </c>
      <c r="F46" s="120" t="str">
        <f t="shared" si="52"/>
        <v>billion USD</v>
      </c>
      <c r="G46" s="121" t="str">
        <f t="shared" si="54"/>
        <v>chipset</v>
      </c>
      <c r="H46" s="122" t="str">
        <f t="shared" si="52"/>
        <v>million watt</v>
      </c>
      <c r="I46" s="180" t="str">
        <f t="shared" si="52"/>
        <v>in million watt</v>
      </c>
      <c r="J46" s="122" t="str">
        <f t="shared" si="52"/>
        <v>for AI in TWh</v>
      </c>
      <c r="K46" s="122"/>
      <c r="L46" s="122" t="str">
        <f t="shared" ref="L46:P46" si="63">L7</f>
        <v>in TWh</v>
      </c>
      <c r="M46" s="122" t="str">
        <f t="shared" si="63"/>
        <v>in TWh</v>
      </c>
      <c r="N46" s="122"/>
      <c r="O46" s="122" t="str">
        <f t="shared" si="63"/>
        <v>electricity</v>
      </c>
      <c r="P46" s="122" t="str">
        <f t="shared" si="63"/>
        <v>electricity</v>
      </c>
      <c r="Q46" s="125">
        <v>28500</v>
      </c>
      <c r="R46" s="122" t="str">
        <f t="shared" ref="R46:W46" si="64">R7</f>
        <v>global TWh</v>
      </c>
      <c r="S46" s="122" t="str">
        <f t="shared" si="64"/>
        <v>electricity</v>
      </c>
      <c r="T46" s="122" t="str">
        <f t="shared" si="64"/>
        <v>in billion USD</v>
      </c>
      <c r="U46" s="122" t="str">
        <f t="shared" si="64"/>
        <v>in billion USD</v>
      </c>
      <c r="V46" s="122"/>
      <c r="W46" s="122" t="str">
        <f t="shared" si="64"/>
        <v>in % of GDP</v>
      </c>
      <c r="X46" s="122" t="str">
        <f>X7</f>
        <v>billion USD</v>
      </c>
      <c r="Y46" s="122" t="str">
        <f t="shared" ref="Y46:Z46" si="65">Y7</f>
        <v>Billion USD</v>
      </c>
      <c r="Z46" s="122" t="str">
        <f t="shared" si="65"/>
        <v>human+android</v>
      </c>
      <c r="AA46" s="122">
        <v>100560</v>
      </c>
      <c r="AB46" s="143" t="str">
        <f>AB7</f>
        <v>Billion USD</v>
      </c>
    </row>
    <row r="47" spans="2:33" ht="15" thickBot="1" x14ac:dyDescent="0.4">
      <c r="B47" s="181"/>
      <c r="C47" s="320"/>
      <c r="D47" s="320"/>
      <c r="E47" s="320"/>
      <c r="F47" s="327"/>
      <c r="G47" s="327" t="s">
        <v>292</v>
      </c>
      <c r="H47" s="328" t="s">
        <v>490</v>
      </c>
      <c r="I47" s="329" t="s">
        <v>872</v>
      </c>
      <c r="J47" s="320"/>
      <c r="K47" s="320"/>
      <c r="L47" s="1025" t="str">
        <f>L8</f>
        <v>Alternative 1</v>
      </c>
      <c r="M47" s="1025" t="str">
        <f t="shared" ref="M47:P47" si="66">M8</f>
        <v>Alternative 2</v>
      </c>
      <c r="N47" s="1025"/>
      <c r="O47" s="1025" t="str">
        <f t="shared" si="66"/>
        <v>Alternative 1</v>
      </c>
      <c r="P47" s="1025" t="str">
        <f t="shared" si="66"/>
        <v>Alternative 2</v>
      </c>
      <c r="Q47" s="320">
        <f>((Q46/Q45)^(1/($B46-$B45)))-1</f>
        <v>2.5620696314338609E-2</v>
      </c>
      <c r="R47" s="180" t="str">
        <f>R8</f>
        <v>Alternative 2 assuming growth of electricity will follow growth of total GDP including android GDP generation. This is probably also unrealistic assuming more growth than is possible because of some kind of bottlenecks in the economic system when growth is higher than 10% per year.</v>
      </c>
      <c r="S47" s="180" t="str">
        <f t="shared" ref="S47:W47" si="67">S8</f>
        <v>-</v>
      </c>
      <c r="T47" s="180" t="str">
        <f t="shared" si="67"/>
        <v>Alternative 1</v>
      </c>
      <c r="U47" s="180" t="str">
        <f t="shared" si="67"/>
        <v>Alternative 2</v>
      </c>
      <c r="V47" s="180"/>
      <c r="W47" s="180" t="str">
        <f t="shared" si="67"/>
        <v>Alternative 2</v>
      </c>
      <c r="X47" s="330" t="s">
        <v>397</v>
      </c>
      <c r="Y47" s="330" t="s">
        <v>45</v>
      </c>
      <c r="Z47" s="330"/>
      <c r="AA47" s="320">
        <f>((AA46/AA45)^(1/($B46-$B45)))-1</f>
        <v>3.2641884693381806E-2</v>
      </c>
      <c r="AB47" s="325"/>
    </row>
    <row r="48" spans="2:33" ht="15" thickTop="1" x14ac:dyDescent="0.35">
      <c r="B48" s="306" t="str">
        <f>B9</f>
        <v>Growth 2023 to 2029</v>
      </c>
      <c r="C48" s="307"/>
      <c r="D48" s="331" t="s">
        <v>135</v>
      </c>
      <c r="E48" s="331" t="s">
        <v>135</v>
      </c>
      <c r="F48" s="331" t="s">
        <v>135</v>
      </c>
      <c r="G48" s="331" t="s">
        <v>135</v>
      </c>
      <c r="H48" s="331" t="s">
        <v>135</v>
      </c>
      <c r="I48" s="331" t="s">
        <v>135</v>
      </c>
      <c r="J48" s="331" t="s">
        <v>135</v>
      </c>
      <c r="K48" s="331"/>
      <c r="L48" s="331" t="s">
        <v>135</v>
      </c>
      <c r="M48" s="331" t="s">
        <v>135</v>
      </c>
      <c r="N48" s="331"/>
      <c r="O48" s="331" t="s">
        <v>135</v>
      </c>
      <c r="P48" s="331" t="s">
        <v>135</v>
      </c>
      <c r="Q48" s="331" t="s">
        <v>135</v>
      </c>
      <c r="R48" s="331"/>
      <c r="S48" s="331" t="s">
        <v>135</v>
      </c>
      <c r="T48" s="331" t="s">
        <v>135</v>
      </c>
      <c r="U48" s="331"/>
      <c r="V48" s="331"/>
      <c r="W48" s="331"/>
      <c r="X48" s="331" t="s">
        <v>135</v>
      </c>
      <c r="Y48" s="331" t="s">
        <v>135</v>
      </c>
      <c r="Z48" s="331" t="s">
        <v>135</v>
      </c>
      <c r="AA48" s="308" t="s">
        <v>45</v>
      </c>
      <c r="AB48" s="332" t="s">
        <v>135</v>
      </c>
    </row>
    <row r="49" spans="2:30" x14ac:dyDescent="0.35">
      <c r="B49" s="302" t="str">
        <f>B10</f>
        <v>Growth 2029 to 2045</v>
      </c>
      <c r="C49" s="312"/>
      <c r="D49" s="353" t="s">
        <v>135</v>
      </c>
      <c r="E49" s="353" t="s">
        <v>135</v>
      </c>
      <c r="F49" s="353" t="s">
        <v>135</v>
      </c>
      <c r="G49" s="353" t="s">
        <v>135</v>
      </c>
      <c r="H49" s="353" t="s">
        <v>135</v>
      </c>
      <c r="I49" s="353" t="s">
        <v>135</v>
      </c>
      <c r="J49" s="353" t="s">
        <v>135</v>
      </c>
      <c r="K49" s="353"/>
      <c r="L49" s="353" t="s">
        <v>135</v>
      </c>
      <c r="M49" s="353" t="s">
        <v>135</v>
      </c>
      <c r="N49" s="353"/>
      <c r="O49" s="353" t="s">
        <v>135</v>
      </c>
      <c r="P49" s="353" t="s">
        <v>135</v>
      </c>
      <c r="Q49" s="353" t="s">
        <v>135</v>
      </c>
      <c r="R49" s="353"/>
      <c r="S49" s="353" t="s">
        <v>135</v>
      </c>
      <c r="T49" s="353" t="s">
        <v>135</v>
      </c>
      <c r="U49" s="353"/>
      <c r="V49" s="353"/>
      <c r="W49" s="353"/>
      <c r="X49" s="353" t="s">
        <v>135</v>
      </c>
      <c r="Y49" s="353" t="s">
        <v>135</v>
      </c>
      <c r="Z49" s="353" t="s">
        <v>135</v>
      </c>
      <c r="AA49" s="315" t="s">
        <v>45</v>
      </c>
      <c r="AB49" s="354" t="s">
        <v>135</v>
      </c>
    </row>
    <row r="50" spans="2:30" ht="15" thickBot="1" x14ac:dyDescent="0.4">
      <c r="B50" s="66" t="str">
        <f>B11</f>
        <v>Growth 2023 to 2045</v>
      </c>
      <c r="C50" s="80"/>
      <c r="D50" s="317" t="s">
        <v>135</v>
      </c>
      <c r="E50" s="317" t="s">
        <v>135</v>
      </c>
      <c r="F50" s="317" t="s">
        <v>135</v>
      </c>
      <c r="G50" s="317" t="s">
        <v>135</v>
      </c>
      <c r="H50" s="317" t="s">
        <v>135</v>
      </c>
      <c r="I50" s="317" t="s">
        <v>135</v>
      </c>
      <c r="J50" s="317" t="s">
        <v>135</v>
      </c>
      <c r="K50" s="317"/>
      <c r="L50" s="317" t="s">
        <v>135</v>
      </c>
      <c r="M50" s="317" t="s">
        <v>135</v>
      </c>
      <c r="N50" s="317"/>
      <c r="O50" s="317" t="s">
        <v>135</v>
      </c>
      <c r="P50" s="317" t="s">
        <v>135</v>
      </c>
      <c r="Q50" s="317" t="s">
        <v>135</v>
      </c>
      <c r="R50" s="317"/>
      <c r="S50" s="317" t="s">
        <v>135</v>
      </c>
      <c r="T50" s="317" t="s">
        <v>135</v>
      </c>
      <c r="U50" s="317"/>
      <c r="V50" s="317"/>
      <c r="W50" s="317"/>
      <c r="X50" s="317" t="s">
        <v>135</v>
      </c>
      <c r="Y50" s="317" t="s">
        <v>135</v>
      </c>
      <c r="Z50" s="317" t="s">
        <v>135</v>
      </c>
      <c r="AA50" s="249" t="s">
        <v>45</v>
      </c>
      <c r="AB50" s="333" t="s">
        <v>135</v>
      </c>
    </row>
    <row r="51" spans="2:30" ht="15" thickTop="1" x14ac:dyDescent="0.35">
      <c r="B51" s="149">
        <v>2022</v>
      </c>
      <c r="C51" s="263" t="s">
        <v>45</v>
      </c>
      <c r="D51" s="278" t="s">
        <v>385</v>
      </c>
      <c r="E51" s="279" t="s">
        <v>45</v>
      </c>
      <c r="F51" s="280" t="s">
        <v>424</v>
      </c>
      <c r="G51" s="269" t="s">
        <v>45</v>
      </c>
      <c r="H51" s="270" t="s">
        <v>45</v>
      </c>
      <c r="I51" s="270" t="s">
        <v>45</v>
      </c>
      <c r="J51" s="270" t="s">
        <v>45</v>
      </c>
      <c r="K51" s="270"/>
      <c r="L51" s="270" t="s">
        <v>45</v>
      </c>
      <c r="M51" s="270" t="s">
        <v>45</v>
      </c>
      <c r="N51" s="270"/>
      <c r="O51" s="270" t="s">
        <v>45</v>
      </c>
      <c r="P51" s="270" t="s">
        <v>45</v>
      </c>
      <c r="Q51" s="269" t="s">
        <v>45</v>
      </c>
      <c r="R51" s="269"/>
      <c r="S51" s="283" t="s">
        <v>397</v>
      </c>
      <c r="T51" s="284" t="s">
        <v>860</v>
      </c>
      <c r="U51" s="284"/>
      <c r="V51" s="284"/>
      <c r="W51" s="284"/>
      <c r="X51" s="270" t="s">
        <v>45</v>
      </c>
      <c r="Y51" s="270" t="s">
        <v>45</v>
      </c>
      <c r="Z51" s="270" t="s">
        <v>45</v>
      </c>
      <c r="AA51" s="270" t="s">
        <v>45</v>
      </c>
      <c r="AB51" s="292" t="s">
        <v>453</v>
      </c>
      <c r="AC51" s="326" t="s">
        <v>45</v>
      </c>
    </row>
    <row r="52" spans="2:30" x14ac:dyDescent="0.35">
      <c r="B52" s="149">
        <v>2023</v>
      </c>
      <c r="C52" s="263" t="s">
        <v>45</v>
      </c>
      <c r="D52" s="371" t="s">
        <v>2986</v>
      </c>
      <c r="E52" s="275" t="s">
        <v>225</v>
      </c>
      <c r="F52" s="280" t="s">
        <v>424</v>
      </c>
      <c r="G52" s="258" t="s">
        <v>292</v>
      </c>
      <c r="H52" s="260" t="s">
        <v>860</v>
      </c>
      <c r="I52" s="260" t="s">
        <v>860</v>
      </c>
      <c r="J52" s="260" t="s">
        <v>860</v>
      </c>
      <c r="K52" s="260"/>
      <c r="L52" s="260" t="s">
        <v>860</v>
      </c>
      <c r="M52" s="260" t="s">
        <v>860</v>
      </c>
      <c r="N52" s="260"/>
      <c r="O52" s="260" t="s">
        <v>860</v>
      </c>
      <c r="P52" s="260" t="s">
        <v>860</v>
      </c>
      <c r="Q52" s="281" t="s">
        <v>396</v>
      </c>
      <c r="R52" s="281"/>
      <c r="S52" s="258" t="s">
        <v>875</v>
      </c>
      <c r="T52" s="260" t="s">
        <v>860</v>
      </c>
      <c r="U52" s="260"/>
      <c r="V52" s="260"/>
      <c r="W52" s="260"/>
      <c r="X52" s="260" t="s">
        <v>860</v>
      </c>
      <c r="Y52" s="260" t="s">
        <v>860</v>
      </c>
      <c r="Z52" s="260" t="s">
        <v>860</v>
      </c>
      <c r="AA52" s="260" t="s">
        <v>860</v>
      </c>
      <c r="AB52" s="293" t="s">
        <v>860</v>
      </c>
    </row>
    <row r="53" spans="2:30" x14ac:dyDescent="0.35">
      <c r="B53" s="149">
        <v>2024</v>
      </c>
      <c r="C53" s="276" t="s">
        <v>859</v>
      </c>
      <c r="D53" s="260" t="s">
        <v>860</v>
      </c>
      <c r="E53" s="275" t="s">
        <v>225</v>
      </c>
      <c r="F53" s="260" t="s">
        <v>860</v>
      </c>
      <c r="G53" s="258" t="s">
        <v>292</v>
      </c>
      <c r="H53" s="260" t="s">
        <v>860</v>
      </c>
      <c r="I53" s="260" t="s">
        <v>860</v>
      </c>
      <c r="J53" s="260" t="s">
        <v>860</v>
      </c>
      <c r="K53" s="260"/>
      <c r="L53" s="260" t="s">
        <v>860</v>
      </c>
      <c r="M53" s="260" t="s">
        <v>860</v>
      </c>
      <c r="N53" s="260"/>
      <c r="O53" s="260" t="s">
        <v>860</v>
      </c>
      <c r="P53" s="260" t="s">
        <v>860</v>
      </c>
      <c r="Q53" s="258" t="s">
        <v>873</v>
      </c>
      <c r="R53" s="258"/>
      <c r="S53" s="258" t="s">
        <v>875</v>
      </c>
      <c r="T53" s="260" t="s">
        <v>860</v>
      </c>
      <c r="U53" s="260"/>
      <c r="V53" s="260"/>
      <c r="W53" s="260"/>
      <c r="X53" s="260" t="s">
        <v>860</v>
      </c>
      <c r="Y53" s="260" t="s">
        <v>860</v>
      </c>
      <c r="Z53" s="260" t="s">
        <v>860</v>
      </c>
      <c r="AA53" s="260" t="s">
        <v>860</v>
      </c>
      <c r="AB53" s="293" t="s">
        <v>860</v>
      </c>
    </row>
    <row r="54" spans="2:30" x14ac:dyDescent="0.35">
      <c r="B54" s="149">
        <v>2025</v>
      </c>
      <c r="C54" s="263" t="s">
        <v>868</v>
      </c>
      <c r="D54" s="260" t="s">
        <v>860</v>
      </c>
      <c r="E54" s="275" t="s">
        <v>225</v>
      </c>
      <c r="F54" s="260" t="s">
        <v>860</v>
      </c>
      <c r="G54" s="258" t="s">
        <v>292</v>
      </c>
      <c r="H54" s="260" t="s">
        <v>860</v>
      </c>
      <c r="I54" s="260" t="s">
        <v>860</v>
      </c>
      <c r="J54" s="260" t="s">
        <v>860</v>
      </c>
      <c r="K54" s="260"/>
      <c r="L54" s="260" t="s">
        <v>860</v>
      </c>
      <c r="M54" s="260" t="s">
        <v>860</v>
      </c>
      <c r="N54" s="260"/>
      <c r="O54" s="260" t="s">
        <v>860</v>
      </c>
      <c r="P54" s="260" t="s">
        <v>860</v>
      </c>
      <c r="Q54" s="258" t="s">
        <v>873</v>
      </c>
      <c r="R54" s="258"/>
      <c r="S54" s="258" t="s">
        <v>875</v>
      </c>
      <c r="T54" s="260" t="s">
        <v>860</v>
      </c>
      <c r="U54" s="260"/>
      <c r="V54" s="260"/>
      <c r="W54" s="260"/>
      <c r="X54" s="260" t="s">
        <v>860</v>
      </c>
      <c r="Y54" s="260" t="s">
        <v>860</v>
      </c>
      <c r="Z54" s="260" t="s">
        <v>860</v>
      </c>
      <c r="AA54" s="260" t="s">
        <v>860</v>
      </c>
      <c r="AB54" s="293" t="s">
        <v>860</v>
      </c>
    </row>
    <row r="55" spans="2:30" x14ac:dyDescent="0.35">
      <c r="B55" s="149">
        <v>2026</v>
      </c>
      <c r="C55" s="4" t="s">
        <v>861</v>
      </c>
      <c r="D55" s="7" t="s">
        <v>860</v>
      </c>
      <c r="E55" s="277" t="s">
        <v>225</v>
      </c>
      <c r="F55" s="7" t="s">
        <v>860</v>
      </c>
      <c r="G55" s="7" t="s">
        <v>860</v>
      </c>
      <c r="H55" s="7" t="s">
        <v>860</v>
      </c>
      <c r="I55" s="7" t="s">
        <v>860</v>
      </c>
      <c r="J55" s="7" t="s">
        <v>860</v>
      </c>
      <c r="K55" s="7"/>
      <c r="L55" s="7" t="s">
        <v>860</v>
      </c>
      <c r="M55" s="7" t="s">
        <v>860</v>
      </c>
      <c r="N55" s="7"/>
      <c r="O55" s="7" t="s">
        <v>860</v>
      </c>
      <c r="P55" s="7" t="s">
        <v>860</v>
      </c>
      <c r="Q55" s="2" t="s">
        <v>873</v>
      </c>
      <c r="R55" s="2"/>
      <c r="S55" s="2" t="s">
        <v>875</v>
      </c>
      <c r="T55" s="7" t="s">
        <v>860</v>
      </c>
      <c r="U55" s="7"/>
      <c r="V55" s="7"/>
      <c r="W55" s="7"/>
      <c r="X55" s="7" t="s">
        <v>860</v>
      </c>
      <c r="Y55" s="7" t="s">
        <v>860</v>
      </c>
      <c r="Z55" s="7" t="s">
        <v>860</v>
      </c>
      <c r="AA55" s="7" t="s">
        <v>860</v>
      </c>
      <c r="AB55" s="294" t="s">
        <v>860</v>
      </c>
      <c r="AD55" s="2"/>
    </row>
    <row r="56" spans="2:30" x14ac:dyDescent="0.35">
      <c r="B56" s="149">
        <v>2027</v>
      </c>
      <c r="C56" s="4" t="s">
        <v>861</v>
      </c>
      <c r="D56" s="7" t="s">
        <v>860</v>
      </c>
      <c r="E56" s="185" t="s">
        <v>862</v>
      </c>
      <c r="F56" s="7" t="s">
        <v>860</v>
      </c>
      <c r="G56" s="7" t="s">
        <v>860</v>
      </c>
      <c r="H56" s="7" t="s">
        <v>860</v>
      </c>
      <c r="I56" s="7" t="s">
        <v>860</v>
      </c>
      <c r="J56" s="7" t="s">
        <v>860</v>
      </c>
      <c r="K56" s="7"/>
      <c r="L56" s="7" t="s">
        <v>860</v>
      </c>
      <c r="M56" s="7" t="s">
        <v>860</v>
      </c>
      <c r="N56" s="7"/>
      <c r="O56" s="7" t="s">
        <v>860</v>
      </c>
      <c r="P56" s="7" t="s">
        <v>860</v>
      </c>
      <c r="Q56" s="2" t="s">
        <v>873</v>
      </c>
      <c r="R56" s="2"/>
      <c r="S56" s="2" t="s">
        <v>875</v>
      </c>
      <c r="T56" s="7" t="s">
        <v>860</v>
      </c>
      <c r="U56" s="7"/>
      <c r="V56" s="7"/>
      <c r="W56" s="7"/>
      <c r="X56" s="7" t="s">
        <v>860</v>
      </c>
      <c r="Y56" s="7" t="s">
        <v>860</v>
      </c>
      <c r="Z56" s="7" t="s">
        <v>860</v>
      </c>
      <c r="AA56" s="7" t="s">
        <v>860</v>
      </c>
      <c r="AB56" s="294" t="s">
        <v>860</v>
      </c>
    </row>
    <row r="57" spans="2:30" x14ac:dyDescent="0.35">
      <c r="B57" s="149">
        <v>2028</v>
      </c>
      <c r="C57" s="4" t="s">
        <v>861</v>
      </c>
      <c r="D57" s="7" t="s">
        <v>860</v>
      </c>
      <c r="E57" s="185" t="s">
        <v>862</v>
      </c>
      <c r="F57" s="7" t="s">
        <v>860</v>
      </c>
      <c r="G57" s="7" t="s">
        <v>860</v>
      </c>
      <c r="H57" s="7" t="s">
        <v>860</v>
      </c>
      <c r="I57" s="7" t="s">
        <v>860</v>
      </c>
      <c r="J57" s="7" t="s">
        <v>860</v>
      </c>
      <c r="K57" s="7"/>
      <c r="L57" s="7" t="s">
        <v>860</v>
      </c>
      <c r="M57" s="7" t="s">
        <v>860</v>
      </c>
      <c r="N57" s="7"/>
      <c r="O57" s="7" t="s">
        <v>860</v>
      </c>
      <c r="P57" s="7" t="s">
        <v>860</v>
      </c>
      <c r="Q57" s="2" t="s">
        <v>873</v>
      </c>
      <c r="R57" s="2"/>
      <c r="S57" s="2" t="s">
        <v>875</v>
      </c>
      <c r="T57" s="7" t="s">
        <v>860</v>
      </c>
      <c r="U57" s="7"/>
      <c r="V57" s="7"/>
      <c r="W57" s="7"/>
      <c r="X57" s="7" t="s">
        <v>860</v>
      </c>
      <c r="Y57" s="7" t="s">
        <v>860</v>
      </c>
      <c r="Z57" s="7" t="s">
        <v>860</v>
      </c>
      <c r="AA57" s="7" t="s">
        <v>860</v>
      </c>
      <c r="AB57" s="294" t="s">
        <v>860</v>
      </c>
    </row>
    <row r="58" spans="2:30" x14ac:dyDescent="0.35">
      <c r="B58" s="517">
        <v>2029</v>
      </c>
      <c r="C58" s="657" t="s">
        <v>861</v>
      </c>
      <c r="D58" s="580" t="s">
        <v>860</v>
      </c>
      <c r="E58" s="520" t="s">
        <v>862</v>
      </c>
      <c r="F58" s="580" t="s">
        <v>860</v>
      </c>
      <c r="G58" s="580" t="s">
        <v>860</v>
      </c>
      <c r="H58" s="580" t="s">
        <v>860</v>
      </c>
      <c r="I58" s="580" t="s">
        <v>860</v>
      </c>
      <c r="J58" s="580" t="s">
        <v>860</v>
      </c>
      <c r="K58" s="580"/>
      <c r="L58" s="580" t="s">
        <v>860</v>
      </c>
      <c r="M58" s="580" t="s">
        <v>860</v>
      </c>
      <c r="N58" s="580"/>
      <c r="O58" s="580" t="s">
        <v>860</v>
      </c>
      <c r="P58" s="580" t="s">
        <v>860</v>
      </c>
      <c r="Q58" s="91" t="s">
        <v>873</v>
      </c>
      <c r="R58" s="91"/>
      <c r="S58" s="91" t="s">
        <v>875</v>
      </c>
      <c r="T58" s="580" t="s">
        <v>860</v>
      </c>
      <c r="U58" s="580"/>
      <c r="V58" s="580"/>
      <c r="W58" s="580"/>
      <c r="X58" s="580" t="s">
        <v>860</v>
      </c>
      <c r="Y58" s="580" t="s">
        <v>860</v>
      </c>
      <c r="Z58" s="580" t="s">
        <v>860</v>
      </c>
      <c r="AA58" s="580" t="s">
        <v>860</v>
      </c>
      <c r="AB58" s="659" t="s">
        <v>860</v>
      </c>
    </row>
    <row r="59" spans="2:30" x14ac:dyDescent="0.35">
      <c r="B59" s="149">
        <v>2030</v>
      </c>
      <c r="C59" s="4" t="s">
        <v>861</v>
      </c>
      <c r="D59" s="7" t="s">
        <v>860</v>
      </c>
      <c r="E59" s="185" t="s">
        <v>862</v>
      </c>
      <c r="F59" s="7" t="s">
        <v>860</v>
      </c>
      <c r="G59" s="7" t="s">
        <v>860</v>
      </c>
      <c r="H59" s="7" t="s">
        <v>860</v>
      </c>
      <c r="I59" s="7" t="s">
        <v>860</v>
      </c>
      <c r="J59" s="7" t="s">
        <v>860</v>
      </c>
      <c r="K59" s="7"/>
      <c r="L59" s="7" t="s">
        <v>860</v>
      </c>
      <c r="M59" s="7" t="s">
        <v>860</v>
      </c>
      <c r="N59" s="7"/>
      <c r="O59" s="7" t="s">
        <v>860</v>
      </c>
      <c r="P59" s="7" t="s">
        <v>860</v>
      </c>
      <c r="Q59" s="2" t="s">
        <v>873</v>
      </c>
      <c r="R59" s="2"/>
      <c r="S59" s="2" t="s">
        <v>875</v>
      </c>
      <c r="T59" s="7" t="s">
        <v>860</v>
      </c>
      <c r="U59" s="7"/>
      <c r="V59" s="7"/>
      <c r="W59" s="7"/>
      <c r="X59" s="7" t="s">
        <v>860</v>
      </c>
      <c r="Y59" s="7" t="s">
        <v>860</v>
      </c>
      <c r="Z59" s="7" t="s">
        <v>860</v>
      </c>
      <c r="AA59" s="69" t="s">
        <v>879</v>
      </c>
      <c r="AB59" s="294" t="s">
        <v>860</v>
      </c>
    </row>
    <row r="60" spans="2:30" x14ac:dyDescent="0.35">
      <c r="B60" s="149">
        <v>2031</v>
      </c>
      <c r="C60" s="4" t="s">
        <v>861</v>
      </c>
      <c r="D60" s="7" t="s">
        <v>860</v>
      </c>
      <c r="E60" s="185" t="s">
        <v>862</v>
      </c>
      <c r="F60" s="7" t="s">
        <v>860</v>
      </c>
      <c r="G60" s="7" t="s">
        <v>860</v>
      </c>
      <c r="H60" s="7" t="s">
        <v>860</v>
      </c>
      <c r="I60" s="7" t="s">
        <v>860</v>
      </c>
      <c r="J60" s="7" t="s">
        <v>860</v>
      </c>
      <c r="K60" s="7"/>
      <c r="L60" s="7" t="s">
        <v>860</v>
      </c>
      <c r="M60" s="7" t="s">
        <v>860</v>
      </c>
      <c r="N60" s="7"/>
      <c r="O60" s="7" t="s">
        <v>860</v>
      </c>
      <c r="P60" s="7" t="s">
        <v>860</v>
      </c>
      <c r="Q60" s="2" t="s">
        <v>873</v>
      </c>
      <c r="R60" s="2"/>
      <c r="S60" s="2" t="s">
        <v>875</v>
      </c>
      <c r="T60" s="7" t="s">
        <v>860</v>
      </c>
      <c r="U60" s="7"/>
      <c r="V60" s="7"/>
      <c r="W60" s="7"/>
      <c r="X60" s="7" t="s">
        <v>860</v>
      </c>
      <c r="Y60" s="7" t="s">
        <v>860</v>
      </c>
      <c r="Z60" s="7" t="s">
        <v>860</v>
      </c>
      <c r="AA60" s="7" t="s">
        <v>860</v>
      </c>
      <c r="AB60" s="294" t="s">
        <v>860</v>
      </c>
    </row>
    <row r="61" spans="2:30" x14ac:dyDescent="0.35">
      <c r="B61" s="149">
        <v>2032</v>
      </c>
      <c r="C61" s="4" t="s">
        <v>861</v>
      </c>
      <c r="D61" s="7" t="s">
        <v>860</v>
      </c>
      <c r="E61" s="185" t="s">
        <v>862</v>
      </c>
      <c r="F61" s="7" t="s">
        <v>860</v>
      </c>
      <c r="G61" s="7" t="s">
        <v>860</v>
      </c>
      <c r="H61" s="7" t="s">
        <v>860</v>
      </c>
      <c r="I61" s="7" t="s">
        <v>860</v>
      </c>
      <c r="J61" s="7" t="s">
        <v>860</v>
      </c>
      <c r="K61" s="7"/>
      <c r="L61" s="7" t="s">
        <v>860</v>
      </c>
      <c r="M61" s="7" t="s">
        <v>860</v>
      </c>
      <c r="N61" s="7"/>
      <c r="O61" s="7" t="s">
        <v>860</v>
      </c>
      <c r="P61" s="7" t="s">
        <v>860</v>
      </c>
      <c r="Q61" s="2" t="s">
        <v>873</v>
      </c>
      <c r="R61" s="2"/>
      <c r="S61" s="2" t="s">
        <v>875</v>
      </c>
      <c r="T61" s="7" t="s">
        <v>860</v>
      </c>
      <c r="U61" s="7"/>
      <c r="V61" s="7"/>
      <c r="W61" s="7"/>
      <c r="X61" s="7" t="s">
        <v>860</v>
      </c>
      <c r="Y61" s="7" t="s">
        <v>860</v>
      </c>
      <c r="Z61" s="7" t="s">
        <v>860</v>
      </c>
      <c r="AA61" s="7" t="s">
        <v>860</v>
      </c>
      <c r="AB61" s="294" t="s">
        <v>860</v>
      </c>
    </row>
    <row r="62" spans="2:30" x14ac:dyDescent="0.35">
      <c r="B62" s="149">
        <v>2033</v>
      </c>
      <c r="C62" s="4" t="s">
        <v>861</v>
      </c>
      <c r="D62" s="7" t="s">
        <v>860</v>
      </c>
      <c r="E62" s="185" t="s">
        <v>862</v>
      </c>
      <c r="F62" s="7" t="s">
        <v>860</v>
      </c>
      <c r="G62" s="7" t="s">
        <v>860</v>
      </c>
      <c r="H62" s="7" t="s">
        <v>860</v>
      </c>
      <c r="I62" s="7" t="s">
        <v>860</v>
      </c>
      <c r="J62" s="7" t="s">
        <v>860</v>
      </c>
      <c r="K62" s="7"/>
      <c r="L62" s="7" t="s">
        <v>860</v>
      </c>
      <c r="M62" s="7" t="s">
        <v>860</v>
      </c>
      <c r="N62" s="7"/>
      <c r="O62" s="7" t="s">
        <v>860</v>
      </c>
      <c r="P62" s="7" t="s">
        <v>860</v>
      </c>
      <c r="Q62" s="2" t="s">
        <v>873</v>
      </c>
      <c r="R62" s="2"/>
      <c r="S62" s="2" t="s">
        <v>875</v>
      </c>
      <c r="T62" s="7" t="s">
        <v>860</v>
      </c>
      <c r="U62" s="7"/>
      <c r="V62" s="7"/>
      <c r="W62" s="7"/>
      <c r="X62" s="7" t="s">
        <v>860</v>
      </c>
      <c r="Y62" s="7" t="s">
        <v>860</v>
      </c>
      <c r="Z62" s="7" t="s">
        <v>860</v>
      </c>
      <c r="AA62" s="7" t="s">
        <v>860</v>
      </c>
      <c r="AB62" s="294" t="s">
        <v>860</v>
      </c>
    </row>
    <row r="63" spans="2:30" x14ac:dyDescent="0.35">
      <c r="B63" s="149">
        <v>2034</v>
      </c>
      <c r="C63" s="4" t="s">
        <v>861</v>
      </c>
      <c r="D63" s="7" t="s">
        <v>860</v>
      </c>
      <c r="E63" s="185" t="s">
        <v>862</v>
      </c>
      <c r="F63" s="7" t="s">
        <v>860</v>
      </c>
      <c r="G63" s="7" t="s">
        <v>860</v>
      </c>
      <c r="H63" s="7" t="s">
        <v>860</v>
      </c>
      <c r="I63" s="7" t="s">
        <v>860</v>
      </c>
      <c r="J63" s="7" t="s">
        <v>860</v>
      </c>
      <c r="K63" s="7"/>
      <c r="L63" s="7" t="s">
        <v>860</v>
      </c>
      <c r="M63" s="7" t="s">
        <v>860</v>
      </c>
      <c r="N63" s="7"/>
      <c r="O63" s="7" t="s">
        <v>860</v>
      </c>
      <c r="P63" s="7" t="s">
        <v>860</v>
      </c>
      <c r="Q63" s="2" t="s">
        <v>873</v>
      </c>
      <c r="R63" s="2"/>
      <c r="S63" s="2" t="s">
        <v>875</v>
      </c>
      <c r="T63" s="7" t="s">
        <v>860</v>
      </c>
      <c r="U63" s="7"/>
      <c r="V63" s="7"/>
      <c r="W63" s="7"/>
      <c r="X63" s="7" t="s">
        <v>860</v>
      </c>
      <c r="Y63" s="7" t="s">
        <v>860</v>
      </c>
      <c r="Z63" s="7" t="s">
        <v>860</v>
      </c>
      <c r="AA63" s="69" t="s">
        <v>880</v>
      </c>
      <c r="AB63" s="294" t="s">
        <v>860</v>
      </c>
    </row>
    <row r="64" spans="2:30" x14ac:dyDescent="0.35">
      <c r="B64" s="517">
        <v>2035</v>
      </c>
      <c r="C64" s="657" t="s">
        <v>861</v>
      </c>
      <c r="D64" s="580" t="s">
        <v>860</v>
      </c>
      <c r="E64" s="520" t="s">
        <v>862</v>
      </c>
      <c r="F64" s="580" t="s">
        <v>860</v>
      </c>
      <c r="G64" s="580" t="s">
        <v>860</v>
      </c>
      <c r="H64" s="580" t="s">
        <v>860</v>
      </c>
      <c r="I64" s="580" t="s">
        <v>860</v>
      </c>
      <c r="J64" s="580" t="s">
        <v>860</v>
      </c>
      <c r="K64" s="580"/>
      <c r="L64" s="580" t="s">
        <v>860</v>
      </c>
      <c r="M64" s="580" t="s">
        <v>860</v>
      </c>
      <c r="N64" s="580"/>
      <c r="O64" s="580" t="s">
        <v>860</v>
      </c>
      <c r="P64" s="580" t="s">
        <v>860</v>
      </c>
      <c r="Q64" s="91" t="s">
        <v>873</v>
      </c>
      <c r="R64" s="91"/>
      <c r="S64" s="91" t="s">
        <v>875</v>
      </c>
      <c r="T64" s="580" t="s">
        <v>860</v>
      </c>
      <c r="U64" s="580"/>
      <c r="V64" s="580"/>
      <c r="W64" s="580"/>
      <c r="X64" s="580" t="s">
        <v>860</v>
      </c>
      <c r="Y64" s="580" t="s">
        <v>860</v>
      </c>
      <c r="Z64" s="580" t="s">
        <v>860</v>
      </c>
      <c r="AA64" s="580" t="s">
        <v>860</v>
      </c>
      <c r="AB64" s="659" t="s">
        <v>860</v>
      </c>
    </row>
    <row r="65" spans="2:28" x14ac:dyDescent="0.35">
      <c r="B65" s="149">
        <v>2036</v>
      </c>
      <c r="C65" s="4" t="s">
        <v>861</v>
      </c>
      <c r="D65" s="7" t="s">
        <v>860</v>
      </c>
      <c r="E65" s="185" t="s">
        <v>862</v>
      </c>
      <c r="F65" s="7" t="s">
        <v>860</v>
      </c>
      <c r="G65" s="7" t="s">
        <v>860</v>
      </c>
      <c r="H65" s="7" t="s">
        <v>860</v>
      </c>
      <c r="I65" s="7" t="s">
        <v>860</v>
      </c>
      <c r="J65" s="7" t="s">
        <v>860</v>
      </c>
      <c r="K65" s="7"/>
      <c r="L65" s="7" t="s">
        <v>860</v>
      </c>
      <c r="M65" s="7" t="s">
        <v>860</v>
      </c>
      <c r="N65" s="7"/>
      <c r="O65" s="7" t="s">
        <v>860</v>
      </c>
      <c r="P65" s="7" t="s">
        <v>860</v>
      </c>
      <c r="Q65" s="2" t="s">
        <v>873</v>
      </c>
      <c r="R65" s="2"/>
      <c r="S65" s="2" t="s">
        <v>875</v>
      </c>
      <c r="T65" s="7" t="s">
        <v>860</v>
      </c>
      <c r="U65" s="7"/>
      <c r="V65" s="7"/>
      <c r="W65" s="7"/>
      <c r="X65" s="7" t="s">
        <v>860</v>
      </c>
      <c r="Y65" s="7" t="s">
        <v>860</v>
      </c>
      <c r="Z65" s="7" t="s">
        <v>860</v>
      </c>
      <c r="AA65" s="7" t="s">
        <v>860</v>
      </c>
      <c r="AB65" s="294" t="s">
        <v>860</v>
      </c>
    </row>
    <row r="66" spans="2:28" x14ac:dyDescent="0.35">
      <c r="B66" s="149">
        <v>2037</v>
      </c>
      <c r="C66" s="4" t="s">
        <v>861</v>
      </c>
      <c r="D66" s="7" t="s">
        <v>860</v>
      </c>
      <c r="E66" s="185" t="s">
        <v>862</v>
      </c>
      <c r="F66" s="7" t="s">
        <v>860</v>
      </c>
      <c r="G66" s="7" t="s">
        <v>860</v>
      </c>
      <c r="H66" s="7" t="s">
        <v>860</v>
      </c>
      <c r="I66" s="7" t="s">
        <v>860</v>
      </c>
      <c r="J66" s="7" t="s">
        <v>860</v>
      </c>
      <c r="K66" s="7"/>
      <c r="L66" s="7" t="s">
        <v>860</v>
      </c>
      <c r="M66" s="7" t="s">
        <v>860</v>
      </c>
      <c r="N66" s="7"/>
      <c r="O66" s="7" t="s">
        <v>860</v>
      </c>
      <c r="P66" s="7" t="s">
        <v>860</v>
      </c>
      <c r="Q66" s="2" t="s">
        <v>873</v>
      </c>
      <c r="R66" s="2"/>
      <c r="S66" s="2" t="s">
        <v>875</v>
      </c>
      <c r="T66" s="7" t="s">
        <v>860</v>
      </c>
      <c r="U66" s="7"/>
      <c r="V66" s="7"/>
      <c r="W66" s="7"/>
      <c r="X66" s="7" t="s">
        <v>860</v>
      </c>
      <c r="Y66" s="7" t="s">
        <v>860</v>
      </c>
      <c r="Z66" s="7" t="s">
        <v>860</v>
      </c>
      <c r="AA66" s="7" t="s">
        <v>860</v>
      </c>
      <c r="AB66" s="294" t="s">
        <v>860</v>
      </c>
    </row>
    <row r="67" spans="2:28" x14ac:dyDescent="0.35">
      <c r="B67" s="149">
        <v>2038</v>
      </c>
      <c r="C67" s="4" t="s">
        <v>861</v>
      </c>
      <c r="D67" s="7" t="s">
        <v>860</v>
      </c>
      <c r="E67" s="185" t="s">
        <v>862</v>
      </c>
      <c r="F67" s="7" t="s">
        <v>860</v>
      </c>
      <c r="G67" s="7" t="s">
        <v>860</v>
      </c>
      <c r="H67" s="7" t="s">
        <v>860</v>
      </c>
      <c r="I67" s="7" t="s">
        <v>860</v>
      </c>
      <c r="J67" s="7" t="s">
        <v>860</v>
      </c>
      <c r="K67" s="7"/>
      <c r="L67" s="7" t="s">
        <v>860</v>
      </c>
      <c r="M67" s="7" t="s">
        <v>860</v>
      </c>
      <c r="N67" s="7"/>
      <c r="O67" s="7" t="s">
        <v>860</v>
      </c>
      <c r="P67" s="7" t="s">
        <v>860</v>
      </c>
      <c r="Q67" s="2" t="s">
        <v>873</v>
      </c>
      <c r="R67" s="2"/>
      <c r="S67" s="2" t="s">
        <v>875</v>
      </c>
      <c r="T67" s="7" t="s">
        <v>860</v>
      </c>
      <c r="U67" s="7"/>
      <c r="V67" s="7"/>
      <c r="W67" s="7"/>
      <c r="X67" s="7" t="s">
        <v>860</v>
      </c>
      <c r="Y67" s="7" t="s">
        <v>860</v>
      </c>
      <c r="Z67" s="7" t="s">
        <v>860</v>
      </c>
      <c r="AA67" s="69" t="s">
        <v>881</v>
      </c>
      <c r="AB67" s="294" t="s">
        <v>860</v>
      </c>
    </row>
    <row r="68" spans="2:28" x14ac:dyDescent="0.35">
      <c r="B68" s="149">
        <v>2039</v>
      </c>
      <c r="C68" s="4" t="s">
        <v>861</v>
      </c>
      <c r="D68" s="7" t="s">
        <v>860</v>
      </c>
      <c r="E68" s="185" t="s">
        <v>862</v>
      </c>
      <c r="F68" s="7" t="s">
        <v>860</v>
      </c>
      <c r="G68" s="7" t="s">
        <v>860</v>
      </c>
      <c r="H68" s="7" t="s">
        <v>860</v>
      </c>
      <c r="I68" s="7" t="s">
        <v>860</v>
      </c>
      <c r="J68" s="7" t="s">
        <v>860</v>
      </c>
      <c r="K68" s="7"/>
      <c r="L68" s="7" t="s">
        <v>860</v>
      </c>
      <c r="M68" s="7" t="s">
        <v>860</v>
      </c>
      <c r="N68" s="7"/>
      <c r="O68" s="7" t="s">
        <v>860</v>
      </c>
      <c r="P68" s="7" t="s">
        <v>860</v>
      </c>
      <c r="Q68" s="2" t="s">
        <v>874</v>
      </c>
      <c r="R68" s="2"/>
      <c r="S68" s="2" t="s">
        <v>875</v>
      </c>
      <c r="T68" s="7" t="s">
        <v>860</v>
      </c>
      <c r="U68" s="7"/>
      <c r="V68" s="7"/>
      <c r="W68" s="7"/>
      <c r="X68" s="7" t="s">
        <v>860</v>
      </c>
      <c r="Y68" s="7" t="s">
        <v>860</v>
      </c>
      <c r="Z68" s="7" t="s">
        <v>860</v>
      </c>
      <c r="AA68" s="7" t="s">
        <v>860</v>
      </c>
      <c r="AB68" s="294" t="s">
        <v>860</v>
      </c>
    </row>
    <row r="69" spans="2:28" x14ac:dyDescent="0.35">
      <c r="B69" s="149">
        <v>2040</v>
      </c>
      <c r="C69" s="4" t="s">
        <v>861</v>
      </c>
      <c r="D69" s="7" t="s">
        <v>860</v>
      </c>
      <c r="E69" s="185" t="s">
        <v>862</v>
      </c>
      <c r="F69" s="7" t="s">
        <v>860</v>
      </c>
      <c r="G69" s="7" t="s">
        <v>860</v>
      </c>
      <c r="H69" s="7" t="s">
        <v>860</v>
      </c>
      <c r="I69" s="7" t="s">
        <v>860</v>
      </c>
      <c r="J69" s="7" t="s">
        <v>860</v>
      </c>
      <c r="K69" s="7"/>
      <c r="L69" s="7" t="s">
        <v>860</v>
      </c>
      <c r="M69" s="7" t="s">
        <v>860</v>
      </c>
      <c r="N69" s="7"/>
      <c r="O69" s="7" t="s">
        <v>860</v>
      </c>
      <c r="P69" s="7" t="s">
        <v>860</v>
      </c>
      <c r="Q69" s="2" t="s">
        <v>874</v>
      </c>
      <c r="R69" s="2"/>
      <c r="S69" s="2" t="s">
        <v>875</v>
      </c>
      <c r="T69" s="7" t="s">
        <v>860</v>
      </c>
      <c r="U69" s="7"/>
      <c r="V69" s="7"/>
      <c r="W69" s="7"/>
      <c r="X69" s="7" t="s">
        <v>860</v>
      </c>
      <c r="Y69" s="7" t="s">
        <v>860</v>
      </c>
      <c r="Z69" s="7" t="s">
        <v>860</v>
      </c>
      <c r="AA69" s="7" t="s">
        <v>860</v>
      </c>
      <c r="AB69" s="294" t="s">
        <v>860</v>
      </c>
    </row>
    <row r="70" spans="2:28" x14ac:dyDescent="0.35">
      <c r="B70" s="149">
        <v>2041</v>
      </c>
      <c r="C70" s="4" t="s">
        <v>861</v>
      </c>
      <c r="D70" s="7" t="s">
        <v>860</v>
      </c>
      <c r="E70" s="185" t="s">
        <v>862</v>
      </c>
      <c r="F70" s="7" t="s">
        <v>860</v>
      </c>
      <c r="G70" s="7" t="s">
        <v>860</v>
      </c>
      <c r="H70" s="7" t="s">
        <v>860</v>
      </c>
      <c r="I70" s="7" t="s">
        <v>860</v>
      </c>
      <c r="J70" s="7" t="s">
        <v>860</v>
      </c>
      <c r="K70" s="7"/>
      <c r="L70" s="7" t="s">
        <v>860</v>
      </c>
      <c r="M70" s="7" t="s">
        <v>860</v>
      </c>
      <c r="N70" s="7"/>
      <c r="O70" s="7" t="s">
        <v>860</v>
      </c>
      <c r="P70" s="7" t="s">
        <v>860</v>
      </c>
      <c r="Q70" s="2" t="s">
        <v>874</v>
      </c>
      <c r="R70" s="2"/>
      <c r="S70" s="2" t="s">
        <v>875</v>
      </c>
      <c r="T70" s="7" t="s">
        <v>860</v>
      </c>
      <c r="U70" s="7"/>
      <c r="V70" s="7"/>
      <c r="W70" s="7"/>
      <c r="X70" s="7" t="s">
        <v>860</v>
      </c>
      <c r="Y70" s="7" t="s">
        <v>860</v>
      </c>
      <c r="Z70" s="7" t="s">
        <v>860</v>
      </c>
      <c r="AA70" s="7" t="s">
        <v>860</v>
      </c>
      <c r="AB70" s="294" t="s">
        <v>860</v>
      </c>
    </row>
    <row r="71" spans="2:28" x14ac:dyDescent="0.35">
      <c r="B71" s="149">
        <v>2042</v>
      </c>
      <c r="C71" s="4" t="s">
        <v>861</v>
      </c>
      <c r="D71" s="7" t="s">
        <v>860</v>
      </c>
      <c r="E71" s="185" t="s">
        <v>862</v>
      </c>
      <c r="F71" s="7" t="s">
        <v>860</v>
      </c>
      <c r="G71" s="7" t="s">
        <v>860</v>
      </c>
      <c r="H71" s="7" t="s">
        <v>860</v>
      </c>
      <c r="I71" s="7" t="s">
        <v>860</v>
      </c>
      <c r="J71" s="7" t="s">
        <v>860</v>
      </c>
      <c r="K71" s="7"/>
      <c r="L71" s="7" t="s">
        <v>860</v>
      </c>
      <c r="M71" s="7" t="s">
        <v>860</v>
      </c>
      <c r="N71" s="7"/>
      <c r="O71" s="7" t="s">
        <v>860</v>
      </c>
      <c r="P71" s="7" t="s">
        <v>860</v>
      </c>
      <c r="Q71" s="2" t="s">
        <v>874</v>
      </c>
      <c r="R71" s="2"/>
      <c r="S71" s="2" t="s">
        <v>875</v>
      </c>
      <c r="T71" s="7" t="s">
        <v>860</v>
      </c>
      <c r="U71" s="7"/>
      <c r="V71" s="7"/>
      <c r="W71" s="7"/>
      <c r="X71" s="7" t="s">
        <v>860</v>
      </c>
      <c r="Y71" s="7" t="s">
        <v>860</v>
      </c>
      <c r="Z71" s="7" t="s">
        <v>860</v>
      </c>
      <c r="AA71" s="69" t="s">
        <v>882</v>
      </c>
      <c r="AB71" s="294" t="s">
        <v>860</v>
      </c>
    </row>
    <row r="72" spans="2:28" x14ac:dyDescent="0.35">
      <c r="B72" s="149">
        <v>2043</v>
      </c>
      <c r="C72" s="4" t="s">
        <v>861</v>
      </c>
      <c r="D72" s="7" t="s">
        <v>860</v>
      </c>
      <c r="E72" s="185" t="s">
        <v>862</v>
      </c>
      <c r="F72" s="7" t="s">
        <v>860</v>
      </c>
      <c r="G72" s="7" t="s">
        <v>860</v>
      </c>
      <c r="H72" s="7" t="s">
        <v>860</v>
      </c>
      <c r="I72" s="7" t="s">
        <v>860</v>
      </c>
      <c r="J72" s="7" t="s">
        <v>860</v>
      </c>
      <c r="K72" s="7"/>
      <c r="L72" s="7" t="s">
        <v>860</v>
      </c>
      <c r="M72" s="7" t="s">
        <v>860</v>
      </c>
      <c r="N72" s="7"/>
      <c r="O72" s="7" t="s">
        <v>860</v>
      </c>
      <c r="P72" s="7" t="s">
        <v>860</v>
      </c>
      <c r="Q72" s="2" t="s">
        <v>874</v>
      </c>
      <c r="R72" s="2"/>
      <c r="S72" s="2" t="s">
        <v>875</v>
      </c>
      <c r="T72" s="7" t="s">
        <v>860</v>
      </c>
      <c r="U72" s="7"/>
      <c r="V72" s="7"/>
      <c r="W72" s="7"/>
      <c r="X72" s="7" t="s">
        <v>860</v>
      </c>
      <c r="Y72" s="7" t="s">
        <v>860</v>
      </c>
      <c r="Z72" s="7" t="s">
        <v>860</v>
      </c>
      <c r="AA72" s="7" t="s">
        <v>860</v>
      </c>
      <c r="AB72" s="294" t="s">
        <v>860</v>
      </c>
    </row>
    <row r="73" spans="2:28" x14ac:dyDescent="0.35">
      <c r="B73" s="149">
        <v>2044</v>
      </c>
      <c r="C73" s="4" t="s">
        <v>861</v>
      </c>
      <c r="D73" s="7" t="s">
        <v>860</v>
      </c>
      <c r="E73" s="185" t="s">
        <v>862</v>
      </c>
      <c r="F73" s="7" t="s">
        <v>860</v>
      </c>
      <c r="G73" s="7" t="s">
        <v>860</v>
      </c>
      <c r="H73" s="7" t="s">
        <v>860</v>
      </c>
      <c r="I73" s="7" t="s">
        <v>860</v>
      </c>
      <c r="J73" s="7" t="s">
        <v>860</v>
      </c>
      <c r="K73" s="7"/>
      <c r="L73" s="7" t="s">
        <v>860</v>
      </c>
      <c r="M73" s="7" t="s">
        <v>860</v>
      </c>
      <c r="N73" s="7"/>
      <c r="O73" s="7" t="s">
        <v>860</v>
      </c>
      <c r="P73" s="7" t="s">
        <v>860</v>
      </c>
      <c r="Q73" s="2" t="s">
        <v>874</v>
      </c>
      <c r="R73" s="2"/>
      <c r="S73" s="2" t="s">
        <v>875</v>
      </c>
      <c r="T73" s="7" t="s">
        <v>860</v>
      </c>
      <c r="U73" s="7"/>
      <c r="V73" s="7"/>
      <c r="W73" s="7"/>
      <c r="X73" s="7" t="s">
        <v>860</v>
      </c>
      <c r="Y73" s="7" t="s">
        <v>860</v>
      </c>
      <c r="Z73" s="7" t="s">
        <v>860</v>
      </c>
      <c r="AA73" s="7" t="s">
        <v>860</v>
      </c>
      <c r="AB73" s="294" t="s">
        <v>860</v>
      </c>
    </row>
    <row r="74" spans="2:28" ht="15" thickBot="1" x14ac:dyDescent="0.4">
      <c r="B74" s="267">
        <v>2045</v>
      </c>
      <c r="C74" s="133" t="s">
        <v>861</v>
      </c>
      <c r="D74" s="167" t="s">
        <v>860</v>
      </c>
      <c r="E74" s="186" t="s">
        <v>862</v>
      </c>
      <c r="F74" s="167" t="s">
        <v>860</v>
      </c>
      <c r="G74" s="167" t="s">
        <v>860</v>
      </c>
      <c r="H74" s="167" t="s">
        <v>860</v>
      </c>
      <c r="I74" s="167" t="s">
        <v>860</v>
      </c>
      <c r="J74" s="167" t="s">
        <v>860</v>
      </c>
      <c r="K74" s="167"/>
      <c r="L74" s="167" t="s">
        <v>860</v>
      </c>
      <c r="M74" s="167" t="s">
        <v>860</v>
      </c>
      <c r="N74" s="167"/>
      <c r="O74" s="167" t="s">
        <v>860</v>
      </c>
      <c r="P74" s="167" t="s">
        <v>860</v>
      </c>
      <c r="Q74" s="134" t="s">
        <v>874</v>
      </c>
      <c r="R74" s="134"/>
      <c r="S74" s="134" t="s">
        <v>875</v>
      </c>
      <c r="T74" s="167" t="s">
        <v>860</v>
      </c>
      <c r="U74" s="167"/>
      <c r="V74" s="167"/>
      <c r="W74" s="167"/>
      <c r="X74" s="167" t="s">
        <v>860</v>
      </c>
      <c r="Y74" s="167" t="s">
        <v>860</v>
      </c>
      <c r="Z74" s="167" t="s">
        <v>860</v>
      </c>
      <c r="AA74" s="167" t="s">
        <v>860</v>
      </c>
      <c r="AB74" s="295" t="s">
        <v>860</v>
      </c>
    </row>
    <row r="75" spans="2:28" ht="15" thickTop="1" x14ac:dyDescent="0.35"/>
  </sheetData>
  <phoneticPr fontId="4" type="noConversion"/>
  <hyperlinks>
    <hyperlink ref="AG10" r:id="rId1" xr:uid="{5DC9C839-93DE-4E12-B54B-94AB45C2186B}"/>
    <hyperlink ref="Q52" r:id="rId2" xr:uid="{13368AEB-5578-419B-8207-FF7AF91FACBF}"/>
    <hyperlink ref="AB51" r:id="rId3" xr:uid="{7764F985-0FBB-425F-A70C-EEF1F37D577C}"/>
    <hyperlink ref="D51" r:id="rId4" xr:uid="{9CB5FE3D-BFF1-490C-8715-1FEE7ECDE38A}"/>
    <hyperlink ref="F52" r:id="rId5" xr:uid="{F7D8C16C-F157-4C03-8AAF-DCAC4ED563DF}"/>
    <hyperlink ref="C53" r:id="rId6" xr:uid="{2CF67056-FB9A-45D5-84B3-A5D1CDE917AC}"/>
    <hyperlink ref="F51" r:id="rId7" xr:uid="{37FC3B3A-CF47-47FC-876F-0D4DE4122DDD}"/>
    <hyperlink ref="S51" r:id="rId8" xr:uid="{AF402A85-A9B5-4724-AB71-21CADAB0F029}"/>
    <hyperlink ref="X47" r:id="rId9" xr:uid="{511E3B56-702E-4715-9F87-8AA89A5FEA24}"/>
  </hyperlinks>
  <pageMargins left="0.7" right="0.7" top="0.75" bottom="0.75" header="0.3" footer="0.3"/>
  <pageSetup paperSize="9" orientation="portrait" verticalDpi="0"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1"/>
  <sheetViews>
    <sheetView workbookViewId="0">
      <pane xSplit="2" ySplit="11" topLeftCell="C12" activePane="bottomRight" state="frozen"/>
      <selection pane="topRight" activeCell="C1" sqref="C1"/>
      <selection pane="bottomLeft" activeCell="A15" sqref="A15"/>
      <selection pane="bottomRight" activeCell="A27" sqref="A27:XFD27"/>
    </sheetView>
  </sheetViews>
  <sheetFormatPr defaultRowHeight="14.5" x14ac:dyDescent="0.35"/>
  <cols>
    <col min="1" max="1" width="6.81640625" customWidth="1"/>
    <col min="2" max="2" width="5.90625" customWidth="1"/>
    <col min="3" max="3" width="23.81640625" customWidth="1"/>
    <col min="4" max="4" width="10.08984375" customWidth="1"/>
    <col min="5" max="5" width="16.54296875" customWidth="1"/>
    <col min="6" max="6" width="9.1796875" customWidth="1"/>
    <col min="7" max="7" width="7" customWidth="1"/>
    <col min="8" max="8" width="10.36328125" customWidth="1"/>
    <col min="9" max="9" width="15.26953125" customWidth="1"/>
    <col min="10" max="10" width="6.36328125" customWidth="1"/>
    <col min="11" max="12" width="10.08984375" customWidth="1"/>
    <col min="13" max="14" width="5" customWidth="1"/>
    <col min="15" max="15" width="6.08984375" customWidth="1"/>
    <col min="16" max="16" width="23.81640625" customWidth="1"/>
    <col min="17" max="17" width="9.81640625" customWidth="1"/>
    <col min="18" max="18" width="17.453125" customWidth="1"/>
    <col min="19" max="19" width="8.1796875" customWidth="1"/>
    <col min="20" max="20" width="8.36328125" customWidth="1"/>
    <col min="21" max="21" width="9.90625" customWidth="1"/>
    <col min="22" max="23" width="4.26953125" customWidth="1"/>
    <col min="24" max="24" width="6.1796875" customWidth="1"/>
    <col min="25" max="25" width="22.81640625" customWidth="1"/>
    <col min="26" max="26" width="9.54296875" customWidth="1"/>
    <col min="27" max="27" width="19.7265625" customWidth="1"/>
    <col min="28" max="28" width="9.08984375" customWidth="1"/>
    <col min="30" max="30" width="9.54296875" customWidth="1"/>
    <col min="33" max="33" width="40" customWidth="1"/>
    <col min="36" max="36" width="17.54296875" customWidth="1"/>
  </cols>
  <sheetData>
    <row r="1" spans="1:34" ht="28.5" x14ac:dyDescent="0.65">
      <c r="A1" s="9" t="str">
        <f>AI_Models!A1</f>
        <v>Path towards AGI &amp; artificial humans - How close are AIs and robotics from being able to do any work that humans can do? #74/101</v>
      </c>
    </row>
    <row r="2" spans="1:34" ht="15.5" x14ac:dyDescent="0.35">
      <c r="A2" s="10" t="s">
        <v>11</v>
      </c>
      <c r="C2" s="7"/>
    </row>
    <row r="3" spans="1:34" ht="15.5" x14ac:dyDescent="0.35">
      <c r="A3" s="414" t="str">
        <f>AI_Models!A3</f>
        <v>Links to all sources are available in sources table below</v>
      </c>
      <c r="B3" s="415"/>
      <c r="C3" s="415"/>
      <c r="D3" s="415"/>
      <c r="E3" s="415"/>
      <c r="F3" s="415"/>
      <c r="AH3" s="3"/>
    </row>
    <row r="4" spans="1:34" s="240" customFormat="1" ht="21.5" thickBot="1" x14ac:dyDescent="0.55000000000000004">
      <c r="B4" s="239" t="s">
        <v>1955</v>
      </c>
      <c r="O4" s="239" t="s">
        <v>527</v>
      </c>
      <c r="Q4" s="239"/>
      <c r="X4" s="239" t="s">
        <v>528</v>
      </c>
      <c r="Z4" s="239"/>
    </row>
    <row r="5" spans="1:34" ht="15" thickTop="1" x14ac:dyDescent="0.35">
      <c r="B5" s="60" t="s">
        <v>7</v>
      </c>
      <c r="C5" s="61" t="s">
        <v>277</v>
      </c>
      <c r="D5" s="61" t="s">
        <v>394</v>
      </c>
      <c r="E5" s="61" t="s">
        <v>258</v>
      </c>
      <c r="F5" s="61" t="s">
        <v>281</v>
      </c>
      <c r="G5" s="61" t="s">
        <v>300</v>
      </c>
      <c r="H5" s="61" t="s">
        <v>301</v>
      </c>
      <c r="I5" s="61" t="s">
        <v>302</v>
      </c>
      <c r="J5" s="61" t="s">
        <v>304</v>
      </c>
      <c r="K5" s="61" t="s">
        <v>278</v>
      </c>
      <c r="L5" s="62" t="s">
        <v>278</v>
      </c>
      <c r="O5" s="60" t="s">
        <v>7</v>
      </c>
      <c r="P5" s="61" t="s">
        <v>277</v>
      </c>
      <c r="Q5" s="61" t="s">
        <v>521</v>
      </c>
      <c r="R5" s="61" t="s">
        <v>258</v>
      </c>
      <c r="S5" s="61" t="s">
        <v>281</v>
      </c>
      <c r="T5" s="61" t="s">
        <v>305</v>
      </c>
      <c r="U5" s="62" t="s">
        <v>278</v>
      </c>
      <c r="X5" s="60" t="s">
        <v>7</v>
      </c>
      <c r="Y5" s="61" t="s">
        <v>13</v>
      </c>
      <c r="Z5" s="61" t="s">
        <v>521</v>
      </c>
      <c r="AA5" s="61" t="s">
        <v>258</v>
      </c>
      <c r="AB5" s="61" t="s">
        <v>281</v>
      </c>
      <c r="AC5" s="61" t="s">
        <v>306</v>
      </c>
      <c r="AD5" s="62" t="s">
        <v>278</v>
      </c>
    </row>
    <row r="6" spans="1:34" x14ac:dyDescent="0.35">
      <c r="B6" s="63">
        <v>1989</v>
      </c>
      <c r="C6" s="84" t="s">
        <v>280</v>
      </c>
      <c r="D6" s="84" t="s">
        <v>522</v>
      </c>
      <c r="E6" s="64">
        <v>1180235</v>
      </c>
      <c r="F6" s="64">
        <v>1000</v>
      </c>
      <c r="G6" s="161">
        <v>173</v>
      </c>
      <c r="H6" s="162">
        <f>(E6/E$46)/G6</f>
        <v>6.8221676300578033E-3</v>
      </c>
      <c r="I6" s="64">
        <f>E$45/(H6*E$46)</f>
        <v>146580977.51718935</v>
      </c>
      <c r="J6" s="64">
        <f>I6^(1/2)</f>
        <v>12107.063125183966</v>
      </c>
      <c r="K6" s="361" t="s">
        <v>853</v>
      </c>
      <c r="L6" s="112" t="s">
        <v>853</v>
      </c>
      <c r="O6" s="63">
        <v>1991</v>
      </c>
      <c r="P6" s="84" t="s">
        <v>279</v>
      </c>
      <c r="Q6" s="84" t="s">
        <v>522</v>
      </c>
      <c r="R6" s="64">
        <v>67108864</v>
      </c>
      <c r="S6" s="64">
        <v>400</v>
      </c>
      <c r="T6" s="84">
        <f>0.064/8</f>
        <v>8.0000000000000002E-3</v>
      </c>
      <c r="U6" s="112" t="s">
        <v>376</v>
      </c>
      <c r="X6" s="63">
        <v>1994</v>
      </c>
      <c r="Y6" s="84" t="s">
        <v>284</v>
      </c>
      <c r="Z6" s="84" t="s">
        <v>522</v>
      </c>
      <c r="AA6" s="64">
        <v>67108864</v>
      </c>
      <c r="AB6" s="64">
        <v>400</v>
      </c>
      <c r="AC6" s="84">
        <f>0.000064/8</f>
        <v>7.9999999999999996E-6</v>
      </c>
      <c r="AD6" s="112" t="s">
        <v>376</v>
      </c>
    </row>
    <row r="7" spans="1:34" ht="15" thickBot="1" x14ac:dyDescent="0.4">
      <c r="B7" s="63">
        <v>2023</v>
      </c>
      <c r="C7" s="84" t="s">
        <v>375</v>
      </c>
      <c r="D7" s="84" t="s">
        <v>520</v>
      </c>
      <c r="E7" s="64">
        <v>80000000000</v>
      </c>
      <c r="F7" s="64">
        <v>4</v>
      </c>
      <c r="G7" s="161">
        <v>814</v>
      </c>
      <c r="H7" s="64">
        <f>(E7/E$46)/G7</f>
        <v>98.280098280098287</v>
      </c>
      <c r="I7" s="64">
        <f>E$45/(H7*E$46)</f>
        <v>10174.999999999998</v>
      </c>
      <c r="J7" s="64">
        <f>I7^(1/2)</f>
        <v>100.87120500916006</v>
      </c>
      <c r="K7" s="361" t="s">
        <v>941</v>
      </c>
      <c r="L7" s="112" t="s">
        <v>941</v>
      </c>
      <c r="O7" s="63">
        <v>2018</v>
      </c>
      <c r="P7" s="84" t="s">
        <v>282</v>
      </c>
      <c r="Q7" s="84" t="s">
        <v>520</v>
      </c>
      <c r="R7" s="64">
        <v>137438953472</v>
      </c>
      <c r="S7" s="64">
        <v>10</v>
      </c>
      <c r="T7" s="84">
        <f>128/8</f>
        <v>16</v>
      </c>
      <c r="U7" s="112" t="s">
        <v>305</v>
      </c>
      <c r="X7" s="63">
        <v>2023</v>
      </c>
      <c r="Y7" s="84" t="s">
        <v>288</v>
      </c>
      <c r="Z7" s="84" t="s">
        <v>520</v>
      </c>
      <c r="AA7" s="64">
        <v>5333000000000</v>
      </c>
      <c r="AB7" s="64">
        <f>Calc_nm_Law!K24</f>
        <v>4.1106508732833182</v>
      </c>
      <c r="AC7" s="84">
        <f>16/8</f>
        <v>2</v>
      </c>
      <c r="AD7" s="112" t="s">
        <v>306</v>
      </c>
    </row>
    <row r="8" spans="1:34" ht="15" thickTop="1" x14ac:dyDescent="0.35">
      <c r="B8" s="306" t="s">
        <v>926</v>
      </c>
      <c r="C8" s="357"/>
      <c r="D8" s="364" t="s">
        <v>45</v>
      </c>
      <c r="E8" s="364">
        <f t="shared" ref="E8:J8" si="0">((E7/E6)^(1/($B7-$B6)))-1</f>
        <v>0.38704901651406454</v>
      </c>
      <c r="F8" s="364">
        <f t="shared" si="0"/>
        <v>-0.14989542644125198</v>
      </c>
      <c r="G8" s="364">
        <f t="shared" si="0"/>
        <v>4.6602372183207397E-2</v>
      </c>
      <c r="H8" s="364">
        <f t="shared" si="0"/>
        <v>0.32528747629406474</v>
      </c>
      <c r="I8" s="364">
        <f t="shared" si="0"/>
        <v>-0.24544672919091814</v>
      </c>
      <c r="J8" s="364">
        <f t="shared" si="0"/>
        <v>-0.13134974195071936</v>
      </c>
      <c r="K8" s="364" t="s">
        <v>45</v>
      </c>
      <c r="L8" s="366" t="s">
        <v>45</v>
      </c>
      <c r="O8" s="306" t="s">
        <v>946</v>
      </c>
      <c r="P8" s="313"/>
      <c r="Q8" s="364" t="s">
        <v>45</v>
      </c>
      <c r="R8" s="356">
        <f>((R7/R6)^(1/($O7-$O6)))-1</f>
        <v>0.32630024571767025</v>
      </c>
      <c r="S8" s="356">
        <f>((S7/S6)^(1/($O7-$O6)))-1</f>
        <v>-0.12770286761543237</v>
      </c>
      <c r="T8" s="356">
        <f>((T7/T6)^(1/($O7-$O6)))-1</f>
        <v>0.32513574852714422</v>
      </c>
      <c r="U8" s="366" t="s">
        <v>45</v>
      </c>
      <c r="X8" s="306" t="s">
        <v>947</v>
      </c>
      <c r="Y8" s="313"/>
      <c r="Z8" s="364" t="s">
        <v>45</v>
      </c>
      <c r="AA8" s="308">
        <f>((AA7/AA6)^(1/($X7-$X6)))-1</f>
        <v>0.47561182710948535</v>
      </c>
      <c r="AB8" s="308">
        <f>((AB7/AB6)^(1/($X7-$X6)))-1</f>
        <v>-0.14602899714234385</v>
      </c>
      <c r="AC8" s="308">
        <f>((AC7/AC6)^(1/($X7-$X6)))-1</f>
        <v>0.53509713928722014</v>
      </c>
      <c r="AD8" s="382" t="s">
        <v>45</v>
      </c>
    </row>
    <row r="9" spans="1:34" x14ac:dyDescent="0.35">
      <c r="B9" s="302" t="s">
        <v>915</v>
      </c>
      <c r="C9" s="359"/>
      <c r="D9" s="363" t="s">
        <v>45</v>
      </c>
      <c r="E9" s="363">
        <f>((E18/E12)^(1/($B18-$B12)))-1</f>
        <v>0.38704901651406454</v>
      </c>
      <c r="F9" s="363">
        <f>((F18/F12)^(1/($B18-$B12)))-1</f>
        <v>-0.14989542644125198</v>
      </c>
      <c r="G9" s="363">
        <f t="shared" ref="G9:J9" si="1">((G18/G12)^(1/($B18-$B12)))-1</f>
        <v>4.6602372183207397E-2</v>
      </c>
      <c r="H9" s="363">
        <f t="shared" si="1"/>
        <v>0.32528747629406496</v>
      </c>
      <c r="I9" s="363">
        <f t="shared" si="1"/>
        <v>-0.24544672919091826</v>
      </c>
      <c r="J9" s="363">
        <f t="shared" si="1"/>
        <v>-0.13134974195071947</v>
      </c>
      <c r="K9" s="363">
        <f t="shared" ref="K9" si="2">((K18/K12)^(1/($B18-$B12)))-1</f>
        <v>0.38704901651406454</v>
      </c>
      <c r="L9" s="367" t="s">
        <v>45</v>
      </c>
      <c r="O9" s="302" t="s">
        <v>915</v>
      </c>
      <c r="P9" s="101"/>
      <c r="Q9" s="363" t="s">
        <v>45</v>
      </c>
      <c r="R9" s="363">
        <f>((R23/R17)^(1/($O23-$O17)))-1</f>
        <v>0.32630024571767025</v>
      </c>
      <c r="S9" s="363">
        <f t="shared" ref="S9:U9" si="3">((S23/S17)^(1/($O23-$O17)))-1</f>
        <v>-0.12770286761543237</v>
      </c>
      <c r="T9" s="363">
        <f t="shared" si="3"/>
        <v>0.32630024571767025</v>
      </c>
      <c r="U9" s="367">
        <f t="shared" si="3"/>
        <v>0.32630024571767025</v>
      </c>
      <c r="X9" s="302" t="s">
        <v>915</v>
      </c>
      <c r="Y9" s="101"/>
      <c r="Z9" s="363" t="s">
        <v>45</v>
      </c>
      <c r="AA9" s="315">
        <f>((AA18/AA12)^(1/($X18-$X12)))-1</f>
        <v>0.47561182710948535</v>
      </c>
      <c r="AB9" s="315">
        <f t="shared" ref="AB9:AD9" si="4">((AB18/AB12)^(1/($X18-$X12)))-1</f>
        <v>-0.14602899714234385</v>
      </c>
      <c r="AC9" s="315">
        <f t="shared" si="4"/>
        <v>0.47561182710948535</v>
      </c>
      <c r="AD9" s="303">
        <f t="shared" si="4"/>
        <v>0.47561182710948535</v>
      </c>
    </row>
    <row r="10" spans="1:34" x14ac:dyDescent="0.35">
      <c r="B10" s="302" t="s">
        <v>916</v>
      </c>
      <c r="C10" s="359"/>
      <c r="D10" s="363" t="s">
        <v>45</v>
      </c>
      <c r="E10" s="363">
        <f>((E34/E18)^(1/($B34-$B18)))-1</f>
        <v>0.13632129779290181</v>
      </c>
      <c r="F10" s="363">
        <f>((F34/F18)^(1/($B34-$B18)))-1</f>
        <v>-2.9990324704409099E-2</v>
      </c>
      <c r="G10" s="363">
        <f t="shared" ref="G10:J10" si="5">((G34/G18)^(1/($B34-$B18)))-1</f>
        <v>4.6602372183207397E-2</v>
      </c>
      <c r="H10" s="363">
        <f t="shared" si="5"/>
        <v>8.572398457548025E-2</v>
      </c>
      <c r="I10" s="363">
        <f t="shared" si="5"/>
        <v>-7.8955596259576488E-2</v>
      </c>
      <c r="J10" s="363">
        <f t="shared" si="5"/>
        <v>-4.0289416677911416E-2</v>
      </c>
      <c r="K10" s="363">
        <f t="shared" ref="K10:L10" si="6">((K34/K18)^(1/($B34-$B18)))-1</f>
        <v>0.13632129779290181</v>
      </c>
      <c r="L10" s="367">
        <f t="shared" si="6"/>
        <v>0.13632129779290181</v>
      </c>
      <c r="O10" s="302" t="s">
        <v>916</v>
      </c>
      <c r="P10" s="101"/>
      <c r="Q10" s="363" t="s">
        <v>45</v>
      </c>
      <c r="R10" s="363">
        <f>((R39/R23)^(1/($O39-$O23)))-1</f>
        <v>0.20589157852616125</v>
      </c>
      <c r="S10" s="363">
        <f t="shared" ref="S10:U10" si="7">((S39/S23)^(1/($O39-$O23)))-1</f>
        <v>-5.8022141701636776E-2</v>
      </c>
      <c r="T10" s="363">
        <f t="shared" si="7"/>
        <v>0.20589157852616125</v>
      </c>
      <c r="U10" s="367">
        <f t="shared" si="7"/>
        <v>0.20589157852616125</v>
      </c>
      <c r="X10" s="302" t="s">
        <v>916</v>
      </c>
      <c r="Y10" s="101"/>
      <c r="Z10" s="363" t="s">
        <v>45</v>
      </c>
      <c r="AA10" s="315">
        <f>((AA34/AA18)^(1/($X34-$X18)))-1</f>
        <v>0.18784827356655276</v>
      </c>
      <c r="AB10" s="315">
        <f t="shared" ref="AB10:AD10" si="8">((AB34/AB18)^(1/($X34-$X18)))-1</f>
        <v>-3.5106072461367321E-2</v>
      </c>
      <c r="AC10" s="315">
        <f t="shared" si="8"/>
        <v>0.18784827356655276</v>
      </c>
      <c r="AD10" s="303">
        <f t="shared" si="8"/>
        <v>0.18784827356655276</v>
      </c>
    </row>
    <row r="11" spans="1:34" ht="15" thickBot="1" x14ac:dyDescent="0.4">
      <c r="B11" s="66" t="s">
        <v>931</v>
      </c>
      <c r="C11" s="88"/>
      <c r="D11" s="252" t="s">
        <v>45</v>
      </c>
      <c r="E11" s="252">
        <f>((E34/E12)^(1/($B34-$B12)))-1</f>
        <v>0.19982189179033938</v>
      </c>
      <c r="F11" s="252">
        <f>((F34/F12)^(1/($B34-$B12)))-1</f>
        <v>-6.4275974179191286E-2</v>
      </c>
      <c r="G11" s="252">
        <f t="shared" ref="G11:K11" si="9">((G34/G12)^(1/($B34-$B12)))-1</f>
        <v>4.6602372183207397E-2</v>
      </c>
      <c r="H11" s="252">
        <f t="shared" si="9"/>
        <v>0.14639706891502335</v>
      </c>
      <c r="I11" s="252">
        <f t="shared" si="9"/>
        <v>-0.12770188696799178</v>
      </c>
      <c r="J11" s="252">
        <f t="shared" si="9"/>
        <v>-6.6030989254992289E-2</v>
      </c>
      <c r="K11" s="252">
        <f t="shared" si="9"/>
        <v>0.19982189179033938</v>
      </c>
      <c r="L11" s="368" t="s">
        <v>45</v>
      </c>
      <c r="O11" s="66" t="s">
        <v>931</v>
      </c>
      <c r="P11" s="75"/>
      <c r="Q11" s="252" t="s">
        <v>45</v>
      </c>
      <c r="R11" s="252">
        <f>((R39/R17)^(1/($O39-$O17)))-1</f>
        <v>0.23760216070061824</v>
      </c>
      <c r="S11" s="252">
        <f t="shared" ref="S11:T11" si="10">((S39/S17)^(1/($O39-$O17)))-1</f>
        <v>-7.7560097956634766E-2</v>
      </c>
      <c r="T11" s="252">
        <f t="shared" si="10"/>
        <v>0.23760216070061824</v>
      </c>
      <c r="U11" s="368">
        <f>((U39/U17)^(1/($O39-$O17)))-1</f>
        <v>0.23760216070061824</v>
      </c>
      <c r="X11" s="66" t="s">
        <v>931</v>
      </c>
      <c r="Y11" s="75"/>
      <c r="Z11" s="252" t="s">
        <v>45</v>
      </c>
      <c r="AA11" s="249">
        <f>((AA34/AA12)^(1/($X34-$X12)))-1</f>
        <v>0.26024482463854182</v>
      </c>
      <c r="AB11" s="249">
        <f t="shared" ref="AB11:AD11" si="11">((AB34/AB12)^(1/($X34-$X12)))-1</f>
        <v>-6.671327796157156E-2</v>
      </c>
      <c r="AC11" s="249">
        <f t="shared" si="11"/>
        <v>0.26024482463854182</v>
      </c>
      <c r="AD11" s="153">
        <f t="shared" si="11"/>
        <v>0.26024482463854182</v>
      </c>
    </row>
    <row r="12" spans="1:34" ht="15" thickTop="1" x14ac:dyDescent="0.35">
      <c r="B12" s="149">
        <f>B7</f>
        <v>2023</v>
      </c>
      <c r="C12" s="7"/>
      <c r="D12" s="250" t="s">
        <v>45</v>
      </c>
      <c r="E12" s="2">
        <f>E7</f>
        <v>80000000000</v>
      </c>
      <c r="F12" s="83">
        <f>F7</f>
        <v>4</v>
      </c>
      <c r="G12" s="2">
        <f>G7</f>
        <v>814</v>
      </c>
      <c r="H12" s="2">
        <f t="shared" ref="H12:H34" si="12">(E12/E$46)/G12</f>
        <v>98.280098280098287</v>
      </c>
      <c r="I12" s="2">
        <f t="shared" ref="I12:I34" si="13">E$45/(H12*E$46)</f>
        <v>10174.999999999998</v>
      </c>
      <c r="J12" s="2">
        <f>I12^(1/2)</f>
        <v>100.87120500916006</v>
      </c>
      <c r="K12" s="6">
        <v>1</v>
      </c>
      <c r="L12" s="379" t="s">
        <v>45</v>
      </c>
      <c r="O12" s="149">
        <f>O7</f>
        <v>2018</v>
      </c>
      <c r="P12" s="7" t="s">
        <v>283</v>
      </c>
      <c r="Q12" s="250" t="s">
        <v>45</v>
      </c>
      <c r="R12" s="2">
        <f>R7</f>
        <v>137438953472</v>
      </c>
      <c r="S12" s="83">
        <f>S7</f>
        <v>10</v>
      </c>
      <c r="T12" s="24">
        <f>T7</f>
        <v>16</v>
      </c>
      <c r="U12" s="53"/>
      <c r="X12" s="149">
        <f>X7</f>
        <v>2023</v>
      </c>
      <c r="Y12" s="7" t="s">
        <v>285</v>
      </c>
      <c r="Z12" s="56" t="s">
        <v>45</v>
      </c>
      <c r="AA12" s="2">
        <f>AA7</f>
        <v>5333000000000</v>
      </c>
      <c r="AB12" s="83">
        <f>AB7</f>
        <v>4.1106508732833182</v>
      </c>
      <c r="AC12" s="83">
        <f>AC7</f>
        <v>2</v>
      </c>
      <c r="AD12" s="110">
        <v>1</v>
      </c>
    </row>
    <row r="13" spans="1:34" x14ac:dyDescent="0.35">
      <c r="B13" s="149">
        <f>B12+1</f>
        <v>2024</v>
      </c>
      <c r="D13" s="56">
        <f t="shared" ref="D13:D21" si="14">E$8</f>
        <v>0.38704901651406454</v>
      </c>
      <c r="E13" s="2">
        <f>E12*(1+D13)</f>
        <v>110963921321.12517</v>
      </c>
      <c r="F13" s="83">
        <f>F12*(1+F$8)</f>
        <v>3.4004182942349921</v>
      </c>
      <c r="G13" s="2">
        <f>G12*(1+G$8)</f>
        <v>851.93433095713078</v>
      </c>
      <c r="H13" s="2">
        <f t="shared" si="12"/>
        <v>130.24938341956411</v>
      </c>
      <c r="I13" s="2">
        <f t="shared" si="13"/>
        <v>7677.5795304824069</v>
      </c>
      <c r="J13" s="2">
        <f t="shared" ref="J13:J34" si="15">I13^(1/2)</f>
        <v>87.621798260948779</v>
      </c>
      <c r="K13" s="6">
        <f>K12*(1+D13)</f>
        <v>1.3870490165140645</v>
      </c>
      <c r="L13" s="379" t="s">
        <v>45</v>
      </c>
      <c r="O13" s="149">
        <f>O12+1</f>
        <v>2019</v>
      </c>
      <c r="Q13" s="56">
        <f t="shared" ref="Q13:Q29" si="16">R$8</f>
        <v>0.32630024571767025</v>
      </c>
      <c r="R13" s="2">
        <f>R12*(1+Q13)</f>
        <v>182285317761.09305</v>
      </c>
      <c r="S13" s="83">
        <f>S12*(1+S$8)</f>
        <v>8.7229713238456767</v>
      </c>
      <c r="T13" s="2">
        <f>T12*(1+Q13)</f>
        <v>21.220803931482724</v>
      </c>
      <c r="U13" s="53"/>
      <c r="X13" s="149">
        <f>X12+1</f>
        <v>2024</v>
      </c>
      <c r="Z13" s="56">
        <f t="shared" ref="Z13:Z21" si="17">AA$8</f>
        <v>0.47561182710948535</v>
      </c>
      <c r="AA13" s="2">
        <f>AA12*(1+Z13)</f>
        <v>7869437873974.8857</v>
      </c>
      <c r="AB13" s="83">
        <f>AB12*(1+AB$8)</f>
        <v>3.5103766486554555</v>
      </c>
      <c r="AC13" s="83">
        <f>AC12*(1+Z13)</f>
        <v>2.9512236542189707</v>
      </c>
      <c r="AD13" s="110">
        <f>AD12*(1+Z13)</f>
        <v>1.4756118271094854</v>
      </c>
    </row>
    <row r="14" spans="1:34" x14ac:dyDescent="0.35">
      <c r="B14" s="149">
        <f t="shared" ref="B14:B39" si="18">B13+1</f>
        <v>2025</v>
      </c>
      <c r="D14" s="56">
        <f t="shared" si="14"/>
        <v>0.38704901651406454</v>
      </c>
      <c r="E14" s="2">
        <f t="shared" ref="E14:E33" si="19">E13*(1+D14)</f>
        <v>153912397937.01071</v>
      </c>
      <c r="F14" s="83">
        <f t="shared" ref="F14:F21" si="20">F13*(1+F$8)</f>
        <v>2.8907111439420032</v>
      </c>
      <c r="G14" s="2">
        <f t="shared" ref="G14:G29" si="21">G13*(1+G$8)</f>
        <v>891.63649172404678</v>
      </c>
      <c r="H14" s="2">
        <f t="shared" si="12"/>
        <v>172.61787664097218</v>
      </c>
      <c r="I14" s="2">
        <f t="shared" si="13"/>
        <v>5793.1427466223522</v>
      </c>
      <c r="J14" s="2">
        <f t="shared" si="15"/>
        <v>76.112697670115153</v>
      </c>
      <c r="K14" s="6">
        <f t="shared" ref="K14:K39" si="22">K13*(1+D14)</f>
        <v>1.9239049742126337</v>
      </c>
      <c r="L14" s="379" t="s">
        <v>45</v>
      </c>
      <c r="O14" s="149">
        <f t="shared" ref="O14:O44" si="23">O13+1</f>
        <v>2020</v>
      </c>
      <c r="Q14" s="56">
        <f t="shared" si="16"/>
        <v>0.32630024571767025</v>
      </c>
      <c r="R14" s="2">
        <f t="shared" ref="R14:R43" si="24">R13*(1+Q14)</f>
        <v>241765061737.26132</v>
      </c>
      <c r="S14" s="83">
        <f t="shared" ref="S14:S30" si="25">S13*(1+S$8)</f>
        <v>7.6090228716633996</v>
      </c>
      <c r="T14" s="2">
        <f>T13*(1+Q14)</f>
        <v>28.145157468652041</v>
      </c>
      <c r="U14" s="53"/>
      <c r="X14" s="149">
        <f t="shared" ref="X14:X34" si="26">X13+1</f>
        <v>2025</v>
      </c>
      <c r="Z14" s="56">
        <f t="shared" si="17"/>
        <v>0.47561182710948535</v>
      </c>
      <c r="AA14" s="2">
        <f t="shared" ref="AA14:AA33" si="27">AA13*(1+Z14)</f>
        <v>11612235599540.666</v>
      </c>
      <c r="AB14" s="83">
        <f t="shared" ref="AB14:AB21" si="28">AB13*(1+AB$8)</f>
        <v>2.9977598670603975</v>
      </c>
      <c r="AC14" s="83">
        <f t="shared" ref="AC14:AC33" si="29">AC13*(1+Z14)</f>
        <v>4.3548605286107875</v>
      </c>
      <c r="AD14" s="110">
        <f t="shared" ref="AD14:AD33" si="30">AD13*(1+Z14)</f>
        <v>2.1774302643053938</v>
      </c>
    </row>
    <row r="15" spans="1:34" x14ac:dyDescent="0.35">
      <c r="B15" s="149">
        <f t="shared" si="18"/>
        <v>2026</v>
      </c>
      <c r="C15" t="s">
        <v>2234</v>
      </c>
      <c r="D15" s="56">
        <f t="shared" si="14"/>
        <v>0.38704901651406454</v>
      </c>
      <c r="E15" s="2">
        <f t="shared" si="19"/>
        <v>213484040187.85205</v>
      </c>
      <c r="F15" s="83">
        <f t="shared" si="20"/>
        <v>2.4574067643023372</v>
      </c>
      <c r="G15" s="2">
        <f t="shared" si="21"/>
        <v>933.18886736350009</v>
      </c>
      <c r="H15" s="2">
        <f t="shared" si="12"/>
        <v>228.76831009675425</v>
      </c>
      <c r="I15" s="2">
        <f t="shared" si="13"/>
        <v>4371.2348077278029</v>
      </c>
      <c r="J15" s="2">
        <f t="shared" si="15"/>
        <v>66.115314471972397</v>
      </c>
      <c r="K15" s="6">
        <f t="shared" si="22"/>
        <v>2.6685505023481504</v>
      </c>
      <c r="L15" s="110">
        <v>1</v>
      </c>
      <c r="O15" s="149">
        <f t="shared" si="23"/>
        <v>2021</v>
      </c>
      <c r="Q15" s="56">
        <f t="shared" si="16"/>
        <v>0.32630024571767025</v>
      </c>
      <c r="R15" s="2">
        <f t="shared" si="24"/>
        <v>320653060788.07739</v>
      </c>
      <c r="S15" s="83">
        <f t="shared" si="25"/>
        <v>6.6373288312005716</v>
      </c>
      <c r="T15" s="2">
        <f t="shared" ref="T15:T38" si="31">T14*(1+Q15)</f>
        <v>37.328929266435722</v>
      </c>
      <c r="U15" s="53"/>
      <c r="X15" s="149">
        <f t="shared" si="26"/>
        <v>2026</v>
      </c>
      <c r="Z15" s="56">
        <f t="shared" si="17"/>
        <v>0.47561182710948535</v>
      </c>
      <c r="AA15" s="2">
        <f t="shared" si="27"/>
        <v>17135152189864.012</v>
      </c>
      <c r="AB15" s="83">
        <f>AB14*(1+AB$8)</f>
        <v>2.5600000000000018</v>
      </c>
      <c r="AC15" s="83">
        <f t="shared" si="29"/>
        <v>6.4260837014303434</v>
      </c>
      <c r="AD15" s="110">
        <f t="shared" si="30"/>
        <v>3.2130418507151717</v>
      </c>
    </row>
    <row r="16" spans="1:34" x14ac:dyDescent="0.35">
      <c r="B16" s="149">
        <f t="shared" si="18"/>
        <v>2027</v>
      </c>
      <c r="D16" s="56">
        <f t="shared" si="14"/>
        <v>0.38704901651406454</v>
      </c>
      <c r="E16" s="2">
        <f t="shared" si="19"/>
        <v>296112827984.00922</v>
      </c>
      <c r="F16" s="83">
        <f t="shared" si="20"/>
        <v>2.0890527294276211</v>
      </c>
      <c r="G16" s="2">
        <f t="shared" si="21"/>
        <v>976.67768227759973</v>
      </c>
      <c r="H16" s="2">
        <f t="shared" si="12"/>
        <v>303.18377634418545</v>
      </c>
      <c r="I16" s="2">
        <f t="shared" si="13"/>
        <v>3298.3295216455213</v>
      </c>
      <c r="J16" s="2">
        <f t="shared" si="15"/>
        <v>57.431084977088162</v>
      </c>
      <c r="K16" s="6">
        <f t="shared" si="22"/>
        <v>3.7014103498001147</v>
      </c>
      <c r="L16" s="110">
        <f>L15*(1+D16)</f>
        <v>1.3870490165140645</v>
      </c>
      <c r="O16" s="149">
        <f t="shared" si="23"/>
        <v>2022</v>
      </c>
      <c r="Q16" s="56">
        <f t="shared" si="16"/>
        <v>0.32630024571767025</v>
      </c>
      <c r="R16" s="2">
        <f t="shared" si="24"/>
        <v>425282233313.3501</v>
      </c>
      <c r="S16" s="83">
        <f t="shared" si="25"/>
        <v>5.7897229061496729</v>
      </c>
      <c r="T16" s="2">
        <f t="shared" si="31"/>
        <v>49.50936805845123</v>
      </c>
      <c r="U16" s="53"/>
      <c r="X16" s="149">
        <f t="shared" si="26"/>
        <v>2027</v>
      </c>
      <c r="Z16" s="56">
        <f t="shared" si="17"/>
        <v>0.47561182710948535</v>
      </c>
      <c r="AA16" s="2">
        <f t="shared" si="27"/>
        <v>25284833230684.332</v>
      </c>
      <c r="AB16" s="83">
        <f t="shared" si="28"/>
        <v>2.1861657673156012</v>
      </c>
      <c r="AC16" s="83">
        <f t="shared" si="29"/>
        <v>9.4824051118261128</v>
      </c>
      <c r="AD16" s="110">
        <f t="shared" si="30"/>
        <v>4.7412025559130564</v>
      </c>
    </row>
    <row r="17" spans="2:30" x14ac:dyDescent="0.35">
      <c r="B17" s="149">
        <f t="shared" si="18"/>
        <v>2028</v>
      </c>
      <c r="D17" s="56">
        <f t="shared" si="14"/>
        <v>0.38704901651406454</v>
      </c>
      <c r="E17" s="2">
        <f t="shared" si="19"/>
        <v>410723006832.41833</v>
      </c>
      <c r="F17" s="83">
        <f t="shared" si="20"/>
        <v>1.7759132796918065</v>
      </c>
      <c r="G17" s="2">
        <f t="shared" si="21"/>
        <v>1022.1931791301328</v>
      </c>
      <c r="H17" s="2">
        <f t="shared" si="12"/>
        <v>401.80566180448972</v>
      </c>
      <c r="I17" s="2">
        <f t="shared" si="13"/>
        <v>2488.7653287637822</v>
      </c>
      <c r="J17" s="2">
        <f t="shared" si="15"/>
        <v>49.887526785397796</v>
      </c>
      <c r="K17" s="6">
        <f t="shared" si="22"/>
        <v>5.1340375854052285</v>
      </c>
      <c r="L17" s="110">
        <f>L16*(1+D17)</f>
        <v>1.9239049742126337</v>
      </c>
      <c r="O17" s="149">
        <f t="shared" si="23"/>
        <v>2023</v>
      </c>
      <c r="Q17" s="56">
        <f t="shared" si="16"/>
        <v>0.32630024571767025</v>
      </c>
      <c r="R17" s="2">
        <f t="shared" si="24"/>
        <v>564051930542.85583</v>
      </c>
      <c r="S17" s="83">
        <f t="shared" si="25"/>
        <v>5.0503586883356046</v>
      </c>
      <c r="T17" s="2">
        <f t="shared" si="31"/>
        <v>65.664287021250445</v>
      </c>
      <c r="U17" s="110">
        <v>1</v>
      </c>
      <c r="X17" s="149">
        <f t="shared" si="26"/>
        <v>2028</v>
      </c>
      <c r="Z17" s="56">
        <f t="shared" si="17"/>
        <v>0.47561182710948535</v>
      </c>
      <c r="AA17" s="2">
        <f t="shared" si="27"/>
        <v>37310598961688.742</v>
      </c>
      <c r="AB17" s="83">
        <f t="shared" si="28"/>
        <v>1.8669221727275813</v>
      </c>
      <c r="AC17" s="83">
        <f t="shared" si="29"/>
        <v>13.992349132454054</v>
      </c>
      <c r="AD17" s="110">
        <f t="shared" si="30"/>
        <v>6.9961745662270269</v>
      </c>
    </row>
    <row r="18" spans="2:30" x14ac:dyDescent="0.35">
      <c r="B18" s="517">
        <f t="shared" si="18"/>
        <v>2029</v>
      </c>
      <c r="C18" s="1"/>
      <c r="D18" s="519">
        <f t="shared" si="14"/>
        <v>0.38704901651406454</v>
      </c>
      <c r="E18" s="91">
        <f t="shared" si="19"/>
        <v>569692942686.60522</v>
      </c>
      <c r="F18" s="660">
        <f t="shared" si="20"/>
        <v>1.5097120013097207</v>
      </c>
      <c r="G18" s="91">
        <f t="shared" si="21"/>
        <v>1069.8298061070911</v>
      </c>
      <c r="H18" s="91">
        <f t="shared" si="12"/>
        <v>532.50801149353879</v>
      </c>
      <c r="I18" s="91">
        <f t="shared" si="13"/>
        <v>1877.9060190949513</v>
      </c>
      <c r="J18" s="91">
        <f t="shared" si="15"/>
        <v>43.334813015576188</v>
      </c>
      <c r="K18" s="231">
        <f t="shared" si="22"/>
        <v>7.1211617835825649</v>
      </c>
      <c r="L18" s="661">
        <f>L17*(1+D18)</f>
        <v>2.6685505023481504</v>
      </c>
      <c r="O18" s="149">
        <f t="shared" si="23"/>
        <v>2024</v>
      </c>
      <c r="Q18" s="56">
        <f t="shared" si="16"/>
        <v>0.32630024571767025</v>
      </c>
      <c r="R18" s="2">
        <f t="shared" si="24"/>
        <v>748102214076.51599</v>
      </c>
      <c r="S18" s="83">
        <f t="shared" si="25"/>
        <v>4.4054134013486346</v>
      </c>
      <c r="T18" s="2">
        <f t="shared" si="31"/>
        <v>87.090560011160093</v>
      </c>
      <c r="U18" s="160">
        <f>U17*(1+Q18)</f>
        <v>1.3263002457176702</v>
      </c>
      <c r="X18" s="517">
        <f t="shared" si="26"/>
        <v>2029</v>
      </c>
      <c r="Y18" s="1"/>
      <c r="Z18" s="519">
        <f t="shared" si="17"/>
        <v>0.47561182710948535</v>
      </c>
      <c r="AA18" s="91">
        <f t="shared" si="27"/>
        <v>55055961104406.789</v>
      </c>
      <c r="AB18" s="660">
        <f t="shared" si="28"/>
        <v>1.594297400101367</v>
      </c>
      <c r="AC18" s="660">
        <f t="shared" si="29"/>
        <v>20.647275868894347</v>
      </c>
      <c r="AD18" s="661">
        <f t="shared" si="30"/>
        <v>10.323637934447174</v>
      </c>
    </row>
    <row r="19" spans="2:30" x14ac:dyDescent="0.35">
      <c r="B19" s="149">
        <f t="shared" si="18"/>
        <v>2030</v>
      </c>
      <c r="D19" s="56">
        <f t="shared" si="14"/>
        <v>0.38704901651406454</v>
      </c>
      <c r="E19" s="2">
        <f t="shared" si="19"/>
        <v>790192035868.45911</v>
      </c>
      <c r="F19" s="83">
        <f t="shared" si="20"/>
        <v>1.2834130770699241</v>
      </c>
      <c r="G19" s="2">
        <f t="shared" si="21"/>
        <v>1119.6864129039825</v>
      </c>
      <c r="H19" s="2">
        <f t="shared" si="12"/>
        <v>705.72619865864283</v>
      </c>
      <c r="I19" s="2">
        <f t="shared" si="13"/>
        <v>1416.9801289801574</v>
      </c>
      <c r="J19" s="2">
        <f t="shared" si="15"/>
        <v>37.642796508497575</v>
      </c>
      <c r="K19" s="6">
        <f t="shared" si="22"/>
        <v>9.877400448355738</v>
      </c>
      <c r="L19" s="110">
        <f t="shared" ref="L19:L34" si="32">L18*(1+D19)</f>
        <v>3.7014103498001147</v>
      </c>
      <c r="O19" s="149">
        <f t="shared" si="23"/>
        <v>2025</v>
      </c>
      <c r="Q19" s="56">
        <f t="shared" si="16"/>
        <v>0.32630024571767025</v>
      </c>
      <c r="R19" s="2">
        <f t="shared" si="24"/>
        <v>992208150351.61633</v>
      </c>
      <c r="S19" s="83">
        <f t="shared" si="25"/>
        <v>3.8428294769649582</v>
      </c>
      <c r="T19" s="2">
        <f t="shared" si="31"/>
        <v>115.50823114249114</v>
      </c>
      <c r="U19" s="160">
        <f t="shared" ref="U19:U38" si="33">U18*(1+Q19)</f>
        <v>1.7590723417907526</v>
      </c>
      <c r="X19" s="149">
        <f t="shared" si="26"/>
        <v>2030</v>
      </c>
      <c r="Z19" s="56">
        <f t="shared" si="17"/>
        <v>0.47561182710948535</v>
      </c>
      <c r="AA19" s="2">
        <f t="shared" si="27"/>
        <v>81241227358542.469</v>
      </c>
      <c r="AB19" s="83">
        <f t="shared" si="28"/>
        <v>1.3614837496179182</v>
      </c>
      <c r="AC19" s="83">
        <f t="shared" si="29"/>
        <v>30.467364469732775</v>
      </c>
      <c r="AD19" s="110">
        <f t="shared" si="30"/>
        <v>15.233682234866388</v>
      </c>
    </row>
    <row r="20" spans="2:30" x14ac:dyDescent="0.35">
      <c r="B20" s="149">
        <f t="shared" si="18"/>
        <v>2031</v>
      </c>
      <c r="D20" s="56">
        <f t="shared" si="14"/>
        <v>0.38704901651406454</v>
      </c>
      <c r="E20" s="2">
        <f t="shared" si="19"/>
        <v>1096035086208.5927</v>
      </c>
      <c r="F20" s="83">
        <f t="shared" si="20"/>
        <v>1.0910353265822486</v>
      </c>
      <c r="G20" s="2">
        <f t="shared" si="21"/>
        <v>1171.8664558466144</v>
      </c>
      <c r="H20" s="2">
        <f t="shared" si="12"/>
        <v>935.29009277491662</v>
      </c>
      <c r="I20" s="2">
        <f t="shared" si="13"/>
        <v>1069.1869909934524</v>
      </c>
      <c r="J20" s="2">
        <f t="shared" si="15"/>
        <v>32.698424900802976</v>
      </c>
      <c r="K20" s="6">
        <f t="shared" si="22"/>
        <v>13.700438577607407</v>
      </c>
      <c r="L20" s="110">
        <f t="shared" si="32"/>
        <v>5.1340375854052285</v>
      </c>
      <c r="O20" s="149">
        <f t="shared" si="23"/>
        <v>2026</v>
      </c>
      <c r="Q20" s="56">
        <f t="shared" si="16"/>
        <v>0.32630024571767025</v>
      </c>
      <c r="R20" s="2">
        <f t="shared" si="24"/>
        <v>1315965913614.4238</v>
      </c>
      <c r="S20" s="83">
        <f t="shared" si="25"/>
        <v>3.3520891329994211</v>
      </c>
      <c r="T20" s="2">
        <f t="shared" si="31"/>
        <v>153.19859534669945</v>
      </c>
      <c r="U20" s="160">
        <f t="shared" si="33"/>
        <v>2.3330580791522326</v>
      </c>
      <c r="X20" s="149">
        <f t="shared" si="26"/>
        <v>2031</v>
      </c>
      <c r="Z20" s="56">
        <f t="shared" si="17"/>
        <v>0.47561182710948535</v>
      </c>
      <c r="AA20" s="2">
        <f t="shared" si="27"/>
        <v>119880515939155.95</v>
      </c>
      <c r="AB20" s="83">
        <f t="shared" si="28"/>
        <v>1.1626676430356155</v>
      </c>
      <c r="AC20" s="83">
        <f t="shared" si="29"/>
        <v>44.958003352393</v>
      </c>
      <c r="AD20" s="110">
        <f t="shared" si="30"/>
        <v>22.4790016761965</v>
      </c>
    </row>
    <row r="21" spans="2:30" x14ac:dyDescent="0.35">
      <c r="B21" s="149">
        <f t="shared" si="18"/>
        <v>2032</v>
      </c>
      <c r="C21" s="369" t="s">
        <v>529</v>
      </c>
      <c r="D21" s="56">
        <f t="shared" si="14"/>
        <v>0.38704901651406454</v>
      </c>
      <c r="E21" s="2">
        <f t="shared" si="19"/>
        <v>1520254388390.5364</v>
      </c>
      <c r="F21" s="83">
        <f t="shared" si="20"/>
        <v>0.92749412104173179</v>
      </c>
      <c r="G21" s="2">
        <f t="shared" si="21"/>
        <v>1226.4782125709944</v>
      </c>
      <c r="H21" s="2">
        <f t="shared" si="12"/>
        <v>1239.5282466565111</v>
      </c>
      <c r="I21" s="2">
        <f t="shared" si="13"/>
        <v>806.75854116062965</v>
      </c>
      <c r="J21" s="2">
        <f t="shared" si="15"/>
        <v>28.403495227887529</v>
      </c>
      <c r="K21" s="6">
        <f t="shared" si="22"/>
        <v>19.003179854881704</v>
      </c>
      <c r="L21" s="110">
        <f t="shared" si="32"/>
        <v>7.1211617835825649</v>
      </c>
      <c r="O21" s="149">
        <f t="shared" si="23"/>
        <v>2027</v>
      </c>
      <c r="Q21" s="56">
        <f t="shared" si="16"/>
        <v>0.32630024571767025</v>
      </c>
      <c r="R21" s="2">
        <f t="shared" si="24"/>
        <v>1745365914582.8887</v>
      </c>
      <c r="S21" s="83">
        <f t="shared" si="25"/>
        <v>2.9240177382128665</v>
      </c>
      <c r="T21" s="2">
        <f t="shared" si="31"/>
        <v>203.1873346519294</v>
      </c>
      <c r="U21" s="160">
        <f t="shared" si="33"/>
        <v>3.0943355036532019</v>
      </c>
      <c r="X21" s="149">
        <f t="shared" si="26"/>
        <v>2032</v>
      </c>
      <c r="Z21" s="56">
        <f t="shared" si="17"/>
        <v>0.47561182710948535</v>
      </c>
      <c r="AA21" s="2">
        <f t="shared" si="27"/>
        <v>176897107159805.69</v>
      </c>
      <c r="AB21" s="83">
        <f t="shared" si="28"/>
        <v>0.992884453113272</v>
      </c>
      <c r="AC21" s="83">
        <f t="shared" si="29"/>
        <v>66.340561470018997</v>
      </c>
      <c r="AD21" s="110">
        <f t="shared" si="30"/>
        <v>33.170280735009499</v>
      </c>
    </row>
    <row r="22" spans="2:30" x14ac:dyDescent="0.35">
      <c r="B22" s="149">
        <f t="shared" si="18"/>
        <v>2033</v>
      </c>
      <c r="C22" s="369" t="s">
        <v>523</v>
      </c>
      <c r="D22" s="56">
        <v>0.15</v>
      </c>
      <c r="E22" s="2">
        <f t="shared" si="19"/>
        <v>1748292546649.1167</v>
      </c>
      <c r="F22" s="83">
        <f>F21</f>
        <v>0.92749412104173179</v>
      </c>
      <c r="G22" s="2">
        <f t="shared" si="21"/>
        <v>1283.6350067078229</v>
      </c>
      <c r="H22" s="2">
        <f t="shared" si="12"/>
        <v>1361.9857183024442</v>
      </c>
      <c r="I22" s="2">
        <f t="shared" si="13"/>
        <v>734.22208952850326</v>
      </c>
      <c r="J22" s="2">
        <f t="shared" si="15"/>
        <v>27.096532795332013</v>
      </c>
      <c r="K22" s="6">
        <f t="shared" si="22"/>
        <v>21.853656833113959</v>
      </c>
      <c r="L22" s="110">
        <f t="shared" si="32"/>
        <v>8.1893360511199482</v>
      </c>
      <c r="O22" s="149">
        <f t="shared" si="23"/>
        <v>2028</v>
      </c>
      <c r="Q22" s="56">
        <f t="shared" si="16"/>
        <v>0.32630024571767025</v>
      </c>
      <c r="R22" s="2">
        <f t="shared" si="24"/>
        <v>2314879241378.5317</v>
      </c>
      <c r="S22" s="83">
        <f t="shared" si="25"/>
        <v>2.5506122880846926</v>
      </c>
      <c r="T22" s="2">
        <f t="shared" si="31"/>
        <v>269.48741187557249</v>
      </c>
      <c r="U22" s="160">
        <f t="shared" si="33"/>
        <v>4.1040179388281528</v>
      </c>
      <c r="X22" s="149">
        <f t="shared" si="26"/>
        <v>2033</v>
      </c>
      <c r="Y22" s="369" t="s">
        <v>529</v>
      </c>
      <c r="Z22" s="56">
        <v>0.2</v>
      </c>
      <c r="AA22" s="2">
        <f t="shared" si="27"/>
        <v>212276528591766.81</v>
      </c>
      <c r="AB22" s="83">
        <v>0.9</v>
      </c>
      <c r="AC22" s="83">
        <f t="shared" si="29"/>
        <v>79.608673764022797</v>
      </c>
      <c r="AD22" s="110">
        <f t="shared" si="30"/>
        <v>39.804336882011398</v>
      </c>
    </row>
    <row r="23" spans="2:30" x14ac:dyDescent="0.35">
      <c r="B23" s="149">
        <f t="shared" si="18"/>
        <v>2034</v>
      </c>
      <c r="C23" s="370" t="s">
        <v>938</v>
      </c>
      <c r="D23" s="56">
        <v>0.15</v>
      </c>
      <c r="E23" s="2">
        <f t="shared" si="19"/>
        <v>2010536428646.4841</v>
      </c>
      <c r="F23" s="83">
        <f t="shared" ref="F23:F28" si="34">F22</f>
        <v>0.92749412104173179</v>
      </c>
      <c r="G23" s="2">
        <f t="shared" si="21"/>
        <v>1343.4554430378148</v>
      </c>
      <c r="H23" s="2">
        <f t="shared" si="12"/>
        <v>1496.5412057881645</v>
      </c>
      <c r="I23" s="2">
        <f t="shared" si="13"/>
        <v>668.20746139986352</v>
      </c>
      <c r="J23" s="2">
        <f t="shared" si="15"/>
        <v>25.849709116349135</v>
      </c>
      <c r="K23" s="6">
        <f t="shared" si="22"/>
        <v>25.131705358081049</v>
      </c>
      <c r="L23" s="110">
        <f t="shared" si="32"/>
        <v>9.4177364587879389</v>
      </c>
      <c r="O23" s="517">
        <f t="shared" si="23"/>
        <v>2029</v>
      </c>
      <c r="P23" s="580"/>
      <c r="Q23" s="519">
        <f t="shared" si="16"/>
        <v>0.32630024571767025</v>
      </c>
      <c r="R23" s="91">
        <f t="shared" si="24"/>
        <v>3070224906647.0806</v>
      </c>
      <c r="S23" s="660">
        <f t="shared" si="25"/>
        <v>2.2248917847211183</v>
      </c>
      <c r="T23" s="91">
        <f t="shared" si="31"/>
        <v>357.42122058839078</v>
      </c>
      <c r="U23" s="662">
        <f t="shared" si="33"/>
        <v>5.4431600006975058</v>
      </c>
      <c r="X23" s="149">
        <f t="shared" si="26"/>
        <v>2034</v>
      </c>
      <c r="Y23" s="369" t="s">
        <v>523</v>
      </c>
      <c r="Z23" s="56">
        <f>Z22</f>
        <v>0.2</v>
      </c>
      <c r="AA23" s="2">
        <f t="shared" si="27"/>
        <v>254731834310120.16</v>
      </c>
      <c r="AB23" s="83">
        <f>AB22</f>
        <v>0.9</v>
      </c>
      <c r="AC23" s="83">
        <f t="shared" si="29"/>
        <v>95.53040851682735</v>
      </c>
      <c r="AD23" s="110">
        <f t="shared" si="30"/>
        <v>47.765204258413675</v>
      </c>
    </row>
    <row r="24" spans="2:30" x14ac:dyDescent="0.35">
      <c r="B24" s="517">
        <f t="shared" si="18"/>
        <v>2035</v>
      </c>
      <c r="C24" s="755" t="s">
        <v>939</v>
      </c>
      <c r="D24" s="519">
        <v>0.15</v>
      </c>
      <c r="E24" s="91">
        <f t="shared" si="19"/>
        <v>2312116892943.4565</v>
      </c>
      <c r="F24" s="660">
        <f t="shared" si="34"/>
        <v>0.92749412104173179</v>
      </c>
      <c r="G24" s="91">
        <f t="shared" si="21"/>
        <v>1406.0636536058189</v>
      </c>
      <c r="H24" s="91">
        <f t="shared" si="12"/>
        <v>1644.3899157865894</v>
      </c>
      <c r="I24" s="91">
        <f t="shared" si="13"/>
        <v>608.12827322749229</v>
      </c>
      <c r="J24" s="91">
        <f t="shared" si="15"/>
        <v>24.660256957856141</v>
      </c>
      <c r="K24" s="231">
        <f t="shared" si="22"/>
        <v>28.901461161793204</v>
      </c>
      <c r="L24" s="661">
        <f t="shared" si="32"/>
        <v>10.830396927606129</v>
      </c>
      <c r="O24" s="149">
        <f t="shared" si="23"/>
        <v>2030</v>
      </c>
      <c r="Q24" s="56">
        <f t="shared" si="16"/>
        <v>0.32630024571767025</v>
      </c>
      <c r="R24" s="2">
        <f t="shared" si="24"/>
        <v>4072040048094.5342</v>
      </c>
      <c r="S24" s="83">
        <f t="shared" si="25"/>
        <v>1.9407667236782142</v>
      </c>
      <c r="T24" s="2">
        <f t="shared" si="31"/>
        <v>474.04785269109232</v>
      </c>
      <c r="U24" s="160">
        <f t="shared" si="33"/>
        <v>7.2192644464056963</v>
      </c>
      <c r="X24" s="517">
        <f t="shared" si="26"/>
        <v>2035</v>
      </c>
      <c r="Y24" s="580"/>
      <c r="Z24" s="519">
        <f t="shared" ref="Z24:Z25" si="35">Z23</f>
        <v>0.2</v>
      </c>
      <c r="AA24" s="91">
        <f t="shared" si="27"/>
        <v>305678201172144.19</v>
      </c>
      <c r="AB24" s="660">
        <f t="shared" ref="AB24:AB33" si="36">AB23</f>
        <v>0.9</v>
      </c>
      <c r="AC24" s="660">
        <f t="shared" si="29"/>
        <v>114.63649022019281</v>
      </c>
      <c r="AD24" s="661">
        <f t="shared" si="30"/>
        <v>57.318245110096406</v>
      </c>
    </row>
    <row r="25" spans="2:30" x14ac:dyDescent="0.35">
      <c r="B25" s="149">
        <f t="shared" si="18"/>
        <v>2036</v>
      </c>
      <c r="C25" s="37"/>
      <c r="D25" s="56">
        <v>0.15</v>
      </c>
      <c r="E25" s="2">
        <f t="shared" si="19"/>
        <v>2658934426884.9746</v>
      </c>
      <c r="F25" s="83">
        <f t="shared" si="34"/>
        <v>0.92749412104173179</v>
      </c>
      <c r="G25" s="2">
        <f t="shared" si="21"/>
        <v>1471.5895553044377</v>
      </c>
      <c r="H25" s="2">
        <f t="shared" si="12"/>
        <v>1806.8451337539584</v>
      </c>
      <c r="I25" s="2">
        <f t="shared" si="13"/>
        <v>553.45086378397491</v>
      </c>
      <c r="J25" s="2">
        <f t="shared" si="15"/>
        <v>23.525536418623378</v>
      </c>
      <c r="K25" s="6">
        <f t="shared" si="22"/>
        <v>33.236680336062179</v>
      </c>
      <c r="L25" s="110">
        <f t="shared" si="32"/>
        <v>12.454956466747047</v>
      </c>
      <c r="O25" s="149">
        <f t="shared" si="23"/>
        <v>2031</v>
      </c>
      <c r="Q25" s="56">
        <f t="shared" si="16"/>
        <v>0.32630024571767025</v>
      </c>
      <c r="R25" s="2">
        <f t="shared" si="24"/>
        <v>5400747716359.9746</v>
      </c>
      <c r="S25" s="83">
        <f t="shared" si="25"/>
        <v>1.6929252476918988</v>
      </c>
      <c r="T25" s="2">
        <f t="shared" si="31"/>
        <v>628.72978350612971</v>
      </c>
      <c r="U25" s="160">
        <f t="shared" si="33"/>
        <v>9.5749122091687155</v>
      </c>
      <c r="X25" s="149">
        <f t="shared" si="26"/>
        <v>2036</v>
      </c>
      <c r="Y25" s="7"/>
      <c r="Z25" s="56">
        <f t="shared" si="35"/>
        <v>0.2</v>
      </c>
      <c r="AA25" s="2">
        <f t="shared" si="27"/>
        <v>366813841406573</v>
      </c>
      <c r="AB25" s="83">
        <f t="shared" si="36"/>
        <v>0.9</v>
      </c>
      <c r="AC25" s="83">
        <f t="shared" si="29"/>
        <v>137.56378826423136</v>
      </c>
      <c r="AD25" s="110">
        <f t="shared" si="30"/>
        <v>68.781894132115681</v>
      </c>
    </row>
    <row r="26" spans="2:30" x14ac:dyDescent="0.35">
      <c r="B26" s="149">
        <f t="shared" si="18"/>
        <v>2037</v>
      </c>
      <c r="C26" s="37"/>
      <c r="D26" s="56">
        <v>0.15</v>
      </c>
      <c r="E26" s="2">
        <f t="shared" si="19"/>
        <v>3057774590917.7207</v>
      </c>
      <c r="F26" s="83">
        <f t="shared" si="34"/>
        <v>0.92749412104173179</v>
      </c>
      <c r="G26" s="2">
        <f t="shared" si="21"/>
        <v>1540.1691194616558</v>
      </c>
      <c r="H26" s="2">
        <f t="shared" si="12"/>
        <v>1985.349889359243</v>
      </c>
      <c r="I26" s="2">
        <f t="shared" si="13"/>
        <v>503.68955384622035</v>
      </c>
      <c r="J26" s="2">
        <f t="shared" si="15"/>
        <v>22.443029070208421</v>
      </c>
      <c r="K26" s="6">
        <f t="shared" si="22"/>
        <v>38.222182386471502</v>
      </c>
      <c r="L26" s="110">
        <f t="shared" si="32"/>
        <v>14.323199936759103</v>
      </c>
      <c r="O26" s="149">
        <f t="shared" si="23"/>
        <v>2032</v>
      </c>
      <c r="Q26" s="56">
        <f t="shared" si="16"/>
        <v>0.32630024571767025</v>
      </c>
      <c r="R26" s="2">
        <f t="shared" si="24"/>
        <v>7163013023267.3809</v>
      </c>
      <c r="S26" s="83">
        <f t="shared" si="25"/>
        <v>1.4767338389030771</v>
      </c>
      <c r="T26" s="2">
        <f t="shared" si="31"/>
        <v>833.88446635419746</v>
      </c>
      <c r="U26" s="160">
        <f t="shared" si="33"/>
        <v>12.699208415745588</v>
      </c>
      <c r="X26" s="149">
        <f t="shared" si="26"/>
        <v>2037</v>
      </c>
      <c r="Y26" s="371" t="s">
        <v>530</v>
      </c>
      <c r="Z26" s="56">
        <v>0.1</v>
      </c>
      <c r="AA26" s="2">
        <f t="shared" si="27"/>
        <v>403495225547230.31</v>
      </c>
      <c r="AB26" s="83">
        <f t="shared" si="36"/>
        <v>0.9</v>
      </c>
      <c r="AC26" s="83">
        <f t="shared" si="29"/>
        <v>151.32016709065451</v>
      </c>
      <c r="AD26" s="110">
        <f t="shared" si="30"/>
        <v>75.660083545327254</v>
      </c>
    </row>
    <row r="27" spans="2:30" x14ac:dyDescent="0.35">
      <c r="B27" s="149">
        <f t="shared" si="18"/>
        <v>2038</v>
      </c>
      <c r="C27" s="371" t="s">
        <v>530</v>
      </c>
      <c r="D27" s="56">
        <f t="shared" ref="D27:D39" si="37">G$8</f>
        <v>4.6602372183207397E-2</v>
      </c>
      <c r="E27" s="2">
        <f t="shared" si="19"/>
        <v>3200274140456.0229</v>
      </c>
      <c r="F27" s="83">
        <f t="shared" si="34"/>
        <v>0.92749412104173179</v>
      </c>
      <c r="G27" s="2">
        <f t="shared" si="21"/>
        <v>1611.9446539918906</v>
      </c>
      <c r="H27" s="2">
        <f t="shared" si="12"/>
        <v>1985.349889359243</v>
      </c>
      <c r="I27" s="2">
        <f t="shared" si="13"/>
        <v>503.68955384622035</v>
      </c>
      <c r="J27" s="2">
        <f t="shared" si="15"/>
        <v>22.443029070208421</v>
      </c>
      <c r="K27" s="6">
        <f t="shared" si="22"/>
        <v>40.003426755700282</v>
      </c>
      <c r="L27" s="110">
        <f t="shared" si="32"/>
        <v>14.990695031066444</v>
      </c>
      <c r="O27" s="149">
        <f t="shared" si="23"/>
        <v>2033</v>
      </c>
      <c r="Q27" s="56">
        <f t="shared" si="16"/>
        <v>0.32630024571767025</v>
      </c>
      <c r="R27" s="2">
        <f t="shared" si="24"/>
        <v>9500305932838.3984</v>
      </c>
      <c r="S27" s="83">
        <f t="shared" si="25"/>
        <v>1.2881506929704083</v>
      </c>
      <c r="T27" s="2">
        <f t="shared" si="31"/>
        <v>1105.9811726257203</v>
      </c>
      <c r="U27" s="160">
        <f t="shared" si="33"/>
        <v>16.842963242223281</v>
      </c>
      <c r="X27" s="149">
        <f t="shared" si="26"/>
        <v>2038</v>
      </c>
      <c r="Y27" s="371" t="s">
        <v>532</v>
      </c>
      <c r="Z27" s="56">
        <f>Z26</f>
        <v>0.1</v>
      </c>
      <c r="AA27" s="2">
        <f t="shared" si="27"/>
        <v>443844748101953.38</v>
      </c>
      <c r="AB27" s="83">
        <f t="shared" si="36"/>
        <v>0.9</v>
      </c>
      <c r="AC27" s="83">
        <f t="shared" si="29"/>
        <v>166.45218379971996</v>
      </c>
      <c r="AD27" s="110">
        <f t="shared" si="30"/>
        <v>83.226091899859981</v>
      </c>
    </row>
    <row r="28" spans="2:30" x14ac:dyDescent="0.35">
      <c r="B28" s="149">
        <f t="shared" si="18"/>
        <v>2039</v>
      </c>
      <c r="C28" s="371" t="s">
        <v>532</v>
      </c>
      <c r="D28" s="56">
        <f t="shared" si="37"/>
        <v>4.6602372183207397E-2</v>
      </c>
      <c r="E28" s="2">
        <f t="shared" si="19"/>
        <v>3349414507037.8486</v>
      </c>
      <c r="F28" s="83">
        <f t="shared" si="34"/>
        <v>0.92749412104173179</v>
      </c>
      <c r="G28" s="2">
        <f t="shared" si="21"/>
        <v>1687.0650986959522</v>
      </c>
      <c r="H28" s="2">
        <f t="shared" si="12"/>
        <v>1985.3498893592428</v>
      </c>
      <c r="I28" s="2">
        <f t="shared" si="13"/>
        <v>503.68955384622041</v>
      </c>
      <c r="J28" s="2">
        <f t="shared" si="15"/>
        <v>22.443029070208425</v>
      </c>
      <c r="K28" s="6">
        <f t="shared" si="22"/>
        <v>41.867681337973103</v>
      </c>
      <c r="L28" s="110">
        <f t="shared" si="32"/>
        <v>15.689296980189161</v>
      </c>
      <c r="O28" s="149">
        <f t="shared" si="23"/>
        <v>2034</v>
      </c>
      <c r="Q28" s="56">
        <f t="shared" si="16"/>
        <v>0.32630024571767025</v>
      </c>
      <c r="R28" s="2">
        <f t="shared" si="24"/>
        <v>12600258093116.607</v>
      </c>
      <c r="S28" s="83">
        <f t="shared" si="25"/>
        <v>1.1236501555572809</v>
      </c>
      <c r="T28" s="2">
        <f t="shared" si="31"/>
        <v>1466.8631010126098</v>
      </c>
      <c r="U28" s="160">
        <f t="shared" si="33"/>
        <v>22.338826286774424</v>
      </c>
      <c r="X28" s="149">
        <f t="shared" si="26"/>
        <v>2039</v>
      </c>
      <c r="Y28" s="371" t="s">
        <v>539</v>
      </c>
      <c r="Z28" s="56">
        <f t="shared" ref="Z28:Z34" si="38">Z27</f>
        <v>0.1</v>
      </c>
      <c r="AA28" s="2">
        <f t="shared" si="27"/>
        <v>488229222912148.75</v>
      </c>
      <c r="AB28" s="83">
        <f t="shared" si="36"/>
        <v>0.9</v>
      </c>
      <c r="AC28" s="83">
        <f t="shared" si="29"/>
        <v>183.09740217969198</v>
      </c>
      <c r="AD28" s="110">
        <f t="shared" si="30"/>
        <v>91.548701089845991</v>
      </c>
    </row>
    <row r="29" spans="2:30" x14ac:dyDescent="0.35">
      <c r="B29" s="149">
        <f t="shared" si="18"/>
        <v>2040</v>
      </c>
      <c r="C29" s="371" t="s">
        <v>533</v>
      </c>
      <c r="D29" s="56">
        <f t="shared" si="37"/>
        <v>4.6602372183207397E-2</v>
      </c>
      <c r="E29" s="2">
        <f t="shared" si="19"/>
        <v>3505505168490.6606</v>
      </c>
      <c r="F29" s="83">
        <f>F28</f>
        <v>0.92749412104173179</v>
      </c>
      <c r="G29" s="2">
        <f t="shared" si="21"/>
        <v>1765.6863343226805</v>
      </c>
      <c r="H29" s="2">
        <f t="shared" si="12"/>
        <v>1985.3498893592428</v>
      </c>
      <c r="I29" s="2">
        <f t="shared" si="13"/>
        <v>503.68955384622041</v>
      </c>
      <c r="J29" s="2">
        <f t="shared" si="15"/>
        <v>22.443029070208425</v>
      </c>
      <c r="K29" s="6">
        <f t="shared" si="22"/>
        <v>43.818814606133252</v>
      </c>
      <c r="L29" s="110">
        <f t="shared" si="32"/>
        <v>16.420455437352807</v>
      </c>
      <c r="O29" s="517">
        <f t="shared" si="23"/>
        <v>2035</v>
      </c>
      <c r="P29" s="1"/>
      <c r="Q29" s="519">
        <f t="shared" si="16"/>
        <v>0.32630024571767025</v>
      </c>
      <c r="R29" s="91">
        <f t="shared" si="24"/>
        <v>16711725405006.619</v>
      </c>
      <c r="S29" s="660">
        <f t="shared" si="25"/>
        <v>0.98015680849608944</v>
      </c>
      <c r="T29" s="91">
        <f t="shared" si="31"/>
        <v>1945.5008913072081</v>
      </c>
      <c r="U29" s="662">
        <f t="shared" si="33"/>
        <v>29.62799079319327</v>
      </c>
      <c r="X29" s="149">
        <f t="shared" si="26"/>
        <v>2040</v>
      </c>
      <c r="Y29" s="371" t="s">
        <v>537</v>
      </c>
      <c r="Z29" s="56">
        <f t="shared" si="38"/>
        <v>0.1</v>
      </c>
      <c r="AA29" s="2">
        <f t="shared" si="27"/>
        <v>537052145203363.69</v>
      </c>
      <c r="AB29" s="83">
        <f t="shared" si="36"/>
        <v>0.9</v>
      </c>
      <c r="AC29" s="83">
        <f t="shared" si="29"/>
        <v>201.4071423976612</v>
      </c>
      <c r="AD29" s="110">
        <f t="shared" si="30"/>
        <v>100.7035711988306</v>
      </c>
    </row>
    <row r="30" spans="2:30" x14ac:dyDescent="0.35">
      <c r="B30" s="149">
        <f t="shared" si="18"/>
        <v>2041</v>
      </c>
      <c r="C30" s="372" t="s">
        <v>940</v>
      </c>
      <c r="D30" s="56">
        <f t="shared" si="37"/>
        <v>4.6602372183207397E-2</v>
      </c>
      <c r="E30" s="2">
        <f t="shared" si="19"/>
        <v>3668870025042.8193</v>
      </c>
      <c r="F30" s="83">
        <f t="shared" ref="F30:F39" si="39">F29</f>
        <v>0.92749412104173179</v>
      </c>
      <c r="G30" s="2">
        <f t="shared" ref="G30:G33" si="40">G29*(1+G$8)</f>
        <v>1847.9715060335893</v>
      </c>
      <c r="H30" s="2">
        <f t="shared" si="12"/>
        <v>1985.3498893592425</v>
      </c>
      <c r="I30" s="2">
        <f t="shared" si="13"/>
        <v>503.68955384622046</v>
      </c>
      <c r="J30" s="2">
        <f t="shared" si="15"/>
        <v>22.443029070208425</v>
      </c>
      <c r="K30" s="6">
        <f t="shared" si="22"/>
        <v>45.860875313035237</v>
      </c>
      <c r="L30" s="110">
        <f t="shared" si="32"/>
        <v>17.185687613062093</v>
      </c>
      <c r="O30" s="149">
        <f t="shared" si="23"/>
        <v>2036</v>
      </c>
      <c r="P30" s="369" t="s">
        <v>529</v>
      </c>
      <c r="Q30" s="56">
        <v>0.2</v>
      </c>
      <c r="R30" s="2">
        <f t="shared" si="24"/>
        <v>20054070486007.941</v>
      </c>
      <c r="S30" s="83">
        <f t="shared" si="25"/>
        <v>0.85498797333834864</v>
      </c>
      <c r="T30" s="2">
        <f t="shared" si="31"/>
        <v>2334.6010695686496</v>
      </c>
      <c r="U30" s="160">
        <f t="shared" si="33"/>
        <v>35.553588951831919</v>
      </c>
      <c r="X30" s="149">
        <f t="shared" si="26"/>
        <v>2041</v>
      </c>
      <c r="Y30" s="371" t="s">
        <v>535</v>
      </c>
      <c r="Z30" s="56">
        <f t="shared" si="38"/>
        <v>0.1</v>
      </c>
      <c r="AA30" s="2">
        <f t="shared" si="27"/>
        <v>590757359723700.13</v>
      </c>
      <c r="AB30" s="83">
        <f t="shared" si="36"/>
        <v>0.9</v>
      </c>
      <c r="AC30" s="83">
        <f t="shared" si="29"/>
        <v>221.54785663742734</v>
      </c>
      <c r="AD30" s="110">
        <f t="shared" si="30"/>
        <v>110.77392831871367</v>
      </c>
    </row>
    <row r="31" spans="2:30" x14ac:dyDescent="0.35">
      <c r="B31" s="149">
        <f t="shared" si="18"/>
        <v>2042</v>
      </c>
      <c r="C31" s="371" t="s">
        <v>531</v>
      </c>
      <c r="D31" s="56">
        <f t="shared" si="37"/>
        <v>4.6602372183207397E-2</v>
      </c>
      <c r="E31" s="2">
        <f t="shared" si="19"/>
        <v>3839848071441.6782</v>
      </c>
      <c r="F31" s="83">
        <f t="shared" si="39"/>
        <v>0.92749412104173179</v>
      </c>
      <c r="G31" s="2">
        <f t="shared" si="40"/>
        <v>1934.091361941729</v>
      </c>
      <c r="H31" s="2">
        <f t="shared" si="12"/>
        <v>1985.3498893592425</v>
      </c>
      <c r="I31" s="2">
        <f t="shared" si="13"/>
        <v>503.68955384622046</v>
      </c>
      <c r="J31" s="2">
        <f t="shared" si="15"/>
        <v>22.443029070208425</v>
      </c>
      <c r="K31" s="6">
        <f t="shared" si="22"/>
        <v>47.998100893020975</v>
      </c>
      <c r="L31" s="110">
        <f t="shared" si="32"/>
        <v>17.986581423430351</v>
      </c>
      <c r="O31" s="149">
        <f t="shared" si="23"/>
        <v>2037</v>
      </c>
      <c r="P31" s="369" t="s">
        <v>523</v>
      </c>
      <c r="Q31" s="56">
        <v>0.2</v>
      </c>
      <c r="R31" s="2">
        <f t="shared" si="24"/>
        <v>24064884583209.527</v>
      </c>
      <c r="S31" s="83">
        <f>S30</f>
        <v>0.85498797333834864</v>
      </c>
      <c r="T31" s="2">
        <f t="shared" si="31"/>
        <v>2801.5212834823792</v>
      </c>
      <c r="U31" s="160">
        <f t="shared" si="33"/>
        <v>42.664306742198299</v>
      </c>
      <c r="X31" s="149">
        <f t="shared" si="26"/>
        <v>2042</v>
      </c>
      <c r="Y31" s="371" t="s">
        <v>538</v>
      </c>
      <c r="Z31" s="56">
        <f t="shared" si="38"/>
        <v>0.1</v>
      </c>
      <c r="AA31" s="2">
        <f t="shared" si="27"/>
        <v>649833095696070.25</v>
      </c>
      <c r="AB31" s="83">
        <f t="shared" si="36"/>
        <v>0.9</v>
      </c>
      <c r="AC31" s="83">
        <f t="shared" si="29"/>
        <v>243.7026423011701</v>
      </c>
      <c r="AD31" s="110">
        <f t="shared" si="30"/>
        <v>121.85132115058505</v>
      </c>
    </row>
    <row r="32" spans="2:30" x14ac:dyDescent="0.35">
      <c r="B32" s="149">
        <f t="shared" si="18"/>
        <v>2043</v>
      </c>
      <c r="C32" s="371" t="s">
        <v>535</v>
      </c>
      <c r="D32" s="56">
        <f t="shared" si="37"/>
        <v>4.6602372183207397E-2</v>
      </c>
      <c r="E32" s="2">
        <f t="shared" si="19"/>
        <v>4018794100393.9746</v>
      </c>
      <c r="F32" s="83">
        <f t="shared" si="39"/>
        <v>0.92749412104173179</v>
      </c>
      <c r="G32" s="2">
        <f t="shared" si="40"/>
        <v>2024.2246074272639</v>
      </c>
      <c r="H32" s="2">
        <f t="shared" si="12"/>
        <v>1985.3498893592425</v>
      </c>
      <c r="I32" s="2">
        <f t="shared" si="13"/>
        <v>503.68955384622046</v>
      </c>
      <c r="J32" s="2">
        <f t="shared" si="15"/>
        <v>22.443029070208425</v>
      </c>
      <c r="K32" s="6">
        <f t="shared" si="22"/>
        <v>50.23492625492468</v>
      </c>
      <c r="L32" s="110">
        <f t="shared" si="32"/>
        <v>18.824798785228616</v>
      </c>
      <c r="O32" s="149">
        <f t="shared" si="23"/>
        <v>2038</v>
      </c>
      <c r="P32" s="370" t="s">
        <v>938</v>
      </c>
      <c r="Q32" s="56">
        <v>0.2</v>
      </c>
      <c r="R32" s="2">
        <f t="shared" si="24"/>
        <v>28877861499851.434</v>
      </c>
      <c r="S32" s="83">
        <f t="shared" ref="S32:S44" si="41">S31</f>
        <v>0.85498797333834864</v>
      </c>
      <c r="T32" s="2">
        <f t="shared" si="31"/>
        <v>3361.8255401788551</v>
      </c>
      <c r="U32" s="160">
        <f t="shared" si="33"/>
        <v>51.197168090637959</v>
      </c>
      <c r="X32" s="149">
        <f t="shared" si="26"/>
        <v>2043</v>
      </c>
      <c r="Y32" s="7"/>
      <c r="Z32" s="56">
        <f t="shared" si="38"/>
        <v>0.1</v>
      </c>
      <c r="AA32" s="2">
        <f t="shared" si="27"/>
        <v>714816405265677.38</v>
      </c>
      <c r="AB32" s="83">
        <f t="shared" si="36"/>
        <v>0.9</v>
      </c>
      <c r="AC32" s="83">
        <f t="shared" si="29"/>
        <v>268.07290653128712</v>
      </c>
      <c r="AD32" s="110">
        <f t="shared" si="30"/>
        <v>134.03645326564356</v>
      </c>
    </row>
    <row r="33" spans="2:30" x14ac:dyDescent="0.35">
      <c r="B33" s="149">
        <f t="shared" si="18"/>
        <v>2044</v>
      </c>
      <c r="C33" s="371" t="s">
        <v>536</v>
      </c>
      <c r="D33" s="56">
        <f t="shared" si="37"/>
        <v>4.6602372183207397E-2</v>
      </c>
      <c r="E33" s="2">
        <f t="shared" si="19"/>
        <v>4206079438788.2129</v>
      </c>
      <c r="F33" s="83">
        <f t="shared" si="39"/>
        <v>0.92749412104173179</v>
      </c>
      <c r="G33" s="2">
        <f t="shared" si="40"/>
        <v>2118.558275964996</v>
      </c>
      <c r="H33" s="2">
        <f t="shared" si="12"/>
        <v>1985.3498893592428</v>
      </c>
      <c r="I33" s="2">
        <f t="shared" si="13"/>
        <v>503.68955384622041</v>
      </c>
      <c r="J33" s="2">
        <f t="shared" si="15"/>
        <v>22.443029070208425</v>
      </c>
      <c r="K33" s="6">
        <f t="shared" si="22"/>
        <v>52.575992984852654</v>
      </c>
      <c r="L33" s="110">
        <f t="shared" si="32"/>
        <v>19.70207906449183</v>
      </c>
      <c r="O33" s="149">
        <f t="shared" si="23"/>
        <v>2039</v>
      </c>
      <c r="P33" s="369" t="s">
        <v>939</v>
      </c>
      <c r="Q33" s="56">
        <v>0.2</v>
      </c>
      <c r="R33" s="2">
        <f t="shared" si="24"/>
        <v>34653433799821.719</v>
      </c>
      <c r="S33" s="83">
        <f t="shared" si="41"/>
        <v>0.85498797333834864</v>
      </c>
      <c r="T33" s="2">
        <f t="shared" si="31"/>
        <v>4034.190648214626</v>
      </c>
      <c r="U33" s="160">
        <f t="shared" si="33"/>
        <v>61.436601708765551</v>
      </c>
      <c r="X33" s="149">
        <f t="shared" si="26"/>
        <v>2044</v>
      </c>
      <c r="Y33" s="7"/>
      <c r="Z33" s="56">
        <f t="shared" si="38"/>
        <v>0.1</v>
      </c>
      <c r="AA33" s="2">
        <f t="shared" si="27"/>
        <v>786298045792245.13</v>
      </c>
      <c r="AB33" s="83">
        <f t="shared" si="36"/>
        <v>0.9</v>
      </c>
      <c r="AC33" s="83">
        <f t="shared" si="29"/>
        <v>294.88019718441586</v>
      </c>
      <c r="AD33" s="110">
        <f t="shared" si="30"/>
        <v>147.44009859220793</v>
      </c>
    </row>
    <row r="34" spans="2:30" ht="15" thickBot="1" x14ac:dyDescent="0.4">
      <c r="B34" s="517">
        <f t="shared" si="18"/>
        <v>2045</v>
      </c>
      <c r="C34" s="755" t="s">
        <v>546</v>
      </c>
      <c r="D34" s="519">
        <f t="shared" si="37"/>
        <v>4.6602372183207397E-2</v>
      </c>
      <c r="E34" s="91">
        <f>E33*(1+D34)</f>
        <v>4402092718226.7568</v>
      </c>
      <c r="F34" s="660">
        <f t="shared" si="39"/>
        <v>0.92749412104173179</v>
      </c>
      <c r="G34" s="91">
        <f>G33*(1+G$8)</f>
        <v>2217.2881172333309</v>
      </c>
      <c r="H34" s="91">
        <f t="shared" si="12"/>
        <v>1985.3498893592425</v>
      </c>
      <c r="I34" s="91">
        <f t="shared" si="13"/>
        <v>503.68955384622046</v>
      </c>
      <c r="J34" s="91">
        <f t="shared" si="15"/>
        <v>22.443029070208425</v>
      </c>
      <c r="K34" s="231">
        <f t="shared" si="22"/>
        <v>55.026158977834456</v>
      </c>
      <c r="L34" s="661">
        <f t="shared" si="32"/>
        <v>20.620242685838257</v>
      </c>
      <c r="O34" s="149">
        <f t="shared" si="23"/>
        <v>2040</v>
      </c>
      <c r="P34" s="371" t="s">
        <v>530</v>
      </c>
      <c r="Q34" s="56">
        <v>0.1</v>
      </c>
      <c r="R34" s="2">
        <f t="shared" si="24"/>
        <v>38118777179803.891</v>
      </c>
      <c r="S34" s="83">
        <f t="shared" si="41"/>
        <v>0.85498797333834864</v>
      </c>
      <c r="T34" s="2">
        <f t="shared" si="31"/>
        <v>4437.6097130360886</v>
      </c>
      <c r="U34" s="160">
        <f t="shared" si="33"/>
        <v>67.580261879642109</v>
      </c>
      <c r="X34" s="267">
        <f t="shared" si="26"/>
        <v>2045</v>
      </c>
      <c r="Y34" s="167"/>
      <c r="Z34" s="163">
        <f t="shared" si="38"/>
        <v>0.1</v>
      </c>
      <c r="AA34" s="134">
        <f>AA33*(1+Z34)</f>
        <v>864927850371469.75</v>
      </c>
      <c r="AB34" s="150">
        <f>AB33</f>
        <v>0.9</v>
      </c>
      <c r="AC34" s="150">
        <f>AC33*(1+Z34)</f>
        <v>324.36821690285745</v>
      </c>
      <c r="AD34" s="165">
        <f>AD33*(1+Z34)</f>
        <v>162.18410845142873</v>
      </c>
    </row>
    <row r="35" spans="2:30" ht="15" thickTop="1" x14ac:dyDescent="0.35">
      <c r="B35" s="149">
        <f t="shared" si="18"/>
        <v>2046</v>
      </c>
      <c r="D35" s="56">
        <f t="shared" si="37"/>
        <v>4.6602372183207397E-2</v>
      </c>
      <c r="E35" s="2">
        <f t="shared" ref="E35:E39" si="42">E34*(1+D35)</f>
        <v>4607240681466.5469</v>
      </c>
      <c r="F35" s="83">
        <f t="shared" si="39"/>
        <v>0.92749412104173179</v>
      </c>
      <c r="G35" s="2">
        <f t="shared" ref="G35:G39" si="43">G34*(1+G$8)</f>
        <v>2320.619003310042</v>
      </c>
      <c r="H35" s="2">
        <f t="shared" ref="H35:H39" si="44">(E35/E$46)/G35</f>
        <v>1985.3498893592423</v>
      </c>
      <c r="I35" s="2">
        <f t="shared" ref="I35:I39" si="45">E$45/(H35*E$46)</f>
        <v>503.68955384622052</v>
      </c>
      <c r="J35" s="2">
        <f t="shared" ref="J35:J39" si="46">I35^(1/2)</f>
        <v>22.443029070208425</v>
      </c>
      <c r="K35" s="6">
        <f t="shared" si="22"/>
        <v>57.590508518331838</v>
      </c>
      <c r="L35" s="110">
        <f t="shared" ref="L35:L39" si="47">L34*(1+D35)</f>
        <v>21.581194909991751</v>
      </c>
      <c r="O35" s="149">
        <f t="shared" si="23"/>
        <v>2041</v>
      </c>
      <c r="P35" s="371" t="s">
        <v>532</v>
      </c>
      <c r="Q35" s="56">
        <v>0.1</v>
      </c>
      <c r="R35" s="2">
        <f t="shared" si="24"/>
        <v>41930654897784.281</v>
      </c>
      <c r="S35" s="83">
        <f t="shared" si="41"/>
        <v>0.85498797333834864</v>
      </c>
      <c r="T35" s="2">
        <f t="shared" si="31"/>
        <v>4881.3706843396976</v>
      </c>
      <c r="U35" s="160">
        <f t="shared" si="33"/>
        <v>74.338288067606328</v>
      </c>
      <c r="X35" s="44"/>
      <c r="Y35" s="31"/>
      <c r="Z35" s="31"/>
      <c r="AA35" s="31"/>
      <c r="AB35" s="31"/>
      <c r="AC35" s="31"/>
      <c r="AD35" s="31"/>
    </row>
    <row r="36" spans="2:30" x14ac:dyDescent="0.35">
      <c r="B36" s="149">
        <f t="shared" si="18"/>
        <v>2047</v>
      </c>
      <c r="D36" s="56">
        <f t="shared" si="37"/>
        <v>4.6602372183207397E-2</v>
      </c>
      <c r="E36" s="2">
        <f t="shared" si="42"/>
        <v>4821949026441.8652</v>
      </c>
      <c r="F36" s="83">
        <f t="shared" si="39"/>
        <v>0.92749412104173179</v>
      </c>
      <c r="G36" s="2">
        <f t="shared" si="43"/>
        <v>2428.7653537977203</v>
      </c>
      <c r="H36" s="2">
        <f t="shared" si="44"/>
        <v>1985.3498893592425</v>
      </c>
      <c r="I36" s="2">
        <f t="shared" si="45"/>
        <v>503.68955384622046</v>
      </c>
      <c r="J36" s="2">
        <f t="shared" si="46"/>
        <v>22.443029070208425</v>
      </c>
      <c r="K36" s="6">
        <f t="shared" si="22"/>
        <v>60.274362830523316</v>
      </c>
      <c r="L36" s="110">
        <f t="shared" si="47"/>
        <v>22.586929787345529</v>
      </c>
      <c r="O36" s="149">
        <f t="shared" si="23"/>
        <v>2042</v>
      </c>
      <c r="P36" s="371" t="s">
        <v>539</v>
      </c>
      <c r="Q36" s="56">
        <v>0.1</v>
      </c>
      <c r="R36" s="2">
        <f t="shared" si="24"/>
        <v>46123720387562.711</v>
      </c>
      <c r="S36" s="83">
        <f t="shared" si="41"/>
        <v>0.85498797333834864</v>
      </c>
      <c r="T36" s="2">
        <f t="shared" si="31"/>
        <v>5369.5077527736676</v>
      </c>
      <c r="U36" s="160">
        <f t="shared" si="33"/>
        <v>81.772116874366972</v>
      </c>
    </row>
    <row r="37" spans="2:30" s="8" customFormat="1" x14ac:dyDescent="0.35">
      <c r="B37" s="149">
        <f t="shared" si="18"/>
        <v>2048</v>
      </c>
      <c r="D37" s="56">
        <f t="shared" si="37"/>
        <v>4.6602372183207397E-2</v>
      </c>
      <c r="E37" s="2">
        <f t="shared" si="42"/>
        <v>5046663289620.5635</v>
      </c>
      <c r="F37" s="83">
        <f t="shared" si="39"/>
        <v>0.92749412104173179</v>
      </c>
      <c r="G37" s="2">
        <f t="shared" si="43"/>
        <v>2541.951580761081</v>
      </c>
      <c r="H37" s="2">
        <f t="shared" si="44"/>
        <v>1985.3498893592423</v>
      </c>
      <c r="I37" s="2">
        <f>E$45/(H37*E$46)</f>
        <v>503.68955384622052</v>
      </c>
      <c r="J37" s="2">
        <f t="shared" si="46"/>
        <v>22.443029070208425</v>
      </c>
      <c r="K37" s="6">
        <f t="shared" si="22"/>
        <v>63.083291120257044</v>
      </c>
      <c r="L37" s="110">
        <f t="shared" si="47"/>
        <v>23.63953429577138</v>
      </c>
      <c r="O37" s="149">
        <f t="shared" si="23"/>
        <v>2043</v>
      </c>
      <c r="P37" s="371" t="s">
        <v>537</v>
      </c>
      <c r="Q37" s="56">
        <v>0.1</v>
      </c>
      <c r="R37" s="2">
        <f t="shared" si="24"/>
        <v>50736092426318.984</v>
      </c>
      <c r="S37" s="83">
        <f t="shared" si="41"/>
        <v>0.85498797333834864</v>
      </c>
      <c r="T37" s="2">
        <f>T36*(1+Q37)</f>
        <v>5906.4585280510346</v>
      </c>
      <c r="U37" s="160">
        <f t="shared" si="33"/>
        <v>89.949328561803682</v>
      </c>
    </row>
    <row r="38" spans="2:30" x14ac:dyDescent="0.35">
      <c r="B38" s="149">
        <f t="shared" si="18"/>
        <v>2049</v>
      </c>
      <c r="D38" s="56">
        <f t="shared" si="37"/>
        <v>4.6602372183207397E-2</v>
      </c>
      <c r="E38" s="2">
        <f t="shared" si="42"/>
        <v>5281849770526.791</v>
      </c>
      <c r="F38" s="83">
        <f t="shared" si="39"/>
        <v>0.92749412104173179</v>
      </c>
      <c r="G38" s="2">
        <f t="shared" si="43"/>
        <v>2660.4125543994014</v>
      </c>
      <c r="H38" s="2">
        <f t="shared" si="44"/>
        <v>1985.3498893592423</v>
      </c>
      <c r="I38" s="2">
        <f>E$45/(H38*E$46)</f>
        <v>503.68955384622052</v>
      </c>
      <c r="J38" s="2">
        <f t="shared" si="46"/>
        <v>22.443029070208425</v>
      </c>
      <c r="K38" s="6">
        <f t="shared" si="22"/>
        <v>66.023122131584884</v>
      </c>
      <c r="L38" s="110">
        <f t="shared" si="47"/>
        <v>24.741192671260613</v>
      </c>
      <c r="M38" s="8"/>
      <c r="N38" s="8"/>
      <c r="O38" s="384">
        <f t="shared" si="23"/>
        <v>2044</v>
      </c>
      <c r="P38" s="371" t="s">
        <v>535</v>
      </c>
      <c r="Q38" s="385">
        <v>0.1</v>
      </c>
      <c r="R38" s="2">
        <f t="shared" si="24"/>
        <v>55809701668950.891</v>
      </c>
      <c r="S38" s="387">
        <f t="shared" si="41"/>
        <v>0.85498797333834864</v>
      </c>
      <c r="T38" s="2">
        <f t="shared" si="31"/>
        <v>6497.104380856139</v>
      </c>
      <c r="U38" s="160">
        <f t="shared" si="33"/>
        <v>98.944261417984052</v>
      </c>
      <c r="V38" s="86"/>
      <c r="W38" s="86"/>
    </row>
    <row r="39" spans="2:30" ht="15" thickBot="1" x14ac:dyDescent="0.4">
      <c r="B39" s="1147">
        <f t="shared" si="18"/>
        <v>2050</v>
      </c>
      <c r="C39" s="85"/>
      <c r="D39" s="1150">
        <f t="shared" si="37"/>
        <v>4.6602372183207397E-2</v>
      </c>
      <c r="E39" s="684">
        <f t="shared" si="42"/>
        <v>5527996499348.6689</v>
      </c>
      <c r="F39" s="1158">
        <f t="shared" si="39"/>
        <v>0.92749412104173179</v>
      </c>
      <c r="G39" s="684">
        <f t="shared" si="43"/>
        <v>2784.3940904203996</v>
      </c>
      <c r="H39" s="684">
        <f t="shared" si="44"/>
        <v>1985.3498893592425</v>
      </c>
      <c r="I39" s="684">
        <f t="shared" si="45"/>
        <v>503.68955384622046</v>
      </c>
      <c r="J39" s="684">
        <f t="shared" si="46"/>
        <v>22.443029070208425</v>
      </c>
      <c r="K39" s="55">
        <f t="shared" si="22"/>
        <v>69.099956241858365</v>
      </c>
      <c r="L39" s="1159">
        <f t="shared" si="47"/>
        <v>25.894190940383144</v>
      </c>
      <c r="O39" s="517">
        <f t="shared" si="23"/>
        <v>2045</v>
      </c>
      <c r="P39" s="755" t="s">
        <v>538</v>
      </c>
      <c r="Q39" s="519">
        <v>0.1</v>
      </c>
      <c r="R39" s="91">
        <f t="shared" si="24"/>
        <v>61390671835845.984</v>
      </c>
      <c r="S39" s="660">
        <f t="shared" si="41"/>
        <v>0.85498797333834864</v>
      </c>
      <c r="T39" s="91">
        <f>T38*(1+Q39)</f>
        <v>7146.8148189417534</v>
      </c>
      <c r="U39" s="662">
        <f>U38*(1+Q39)</f>
        <v>108.83868755978247</v>
      </c>
    </row>
    <row r="40" spans="2:30" ht="15" thickTop="1" x14ac:dyDescent="0.35">
      <c r="B40" s="44"/>
      <c r="C40" s="31"/>
      <c r="D40" s="31"/>
      <c r="E40" s="31"/>
      <c r="F40" s="31"/>
      <c r="G40" s="31"/>
      <c r="H40" s="31"/>
      <c r="I40" s="31"/>
      <c r="J40" s="31"/>
      <c r="K40" s="31"/>
      <c r="L40" s="31"/>
      <c r="O40" s="149">
        <f t="shared" si="23"/>
        <v>2046</v>
      </c>
      <c r="Q40" s="56">
        <v>0.1</v>
      </c>
      <c r="R40" s="2">
        <f t="shared" si="24"/>
        <v>67529739019430.586</v>
      </c>
      <c r="S40" s="83">
        <f t="shared" si="41"/>
        <v>0.85498797333834864</v>
      </c>
      <c r="T40" s="2">
        <f t="shared" ref="T40:T43" si="48">T39*(1+Q40)</f>
        <v>7861.4963008359291</v>
      </c>
      <c r="U40" s="160">
        <f t="shared" ref="U40:U43" si="49">U39*(1+Q40)</f>
        <v>119.72255631576073</v>
      </c>
    </row>
    <row r="41" spans="2:30" x14ac:dyDescent="0.35">
      <c r="K41" s="8" t="s">
        <v>303</v>
      </c>
      <c r="O41" s="149">
        <f t="shared" si="23"/>
        <v>2047</v>
      </c>
      <c r="Q41" s="56">
        <v>0.1</v>
      </c>
      <c r="R41" s="2">
        <f t="shared" si="24"/>
        <v>74282712921373.656</v>
      </c>
      <c r="S41" s="83">
        <f t="shared" si="41"/>
        <v>0.85498797333834864</v>
      </c>
      <c r="T41" s="2">
        <f t="shared" si="48"/>
        <v>8647.6459309195234</v>
      </c>
      <c r="U41" s="160">
        <f t="shared" si="49"/>
        <v>131.6948119473368</v>
      </c>
      <c r="AA41" t="s">
        <v>311</v>
      </c>
    </row>
    <row r="42" spans="2:30" x14ac:dyDescent="0.35">
      <c r="C42" s="8"/>
      <c r="F42" s="8" t="s">
        <v>180</v>
      </c>
      <c r="H42" s="8"/>
      <c r="K42" s="2">
        <f>J7^2</f>
        <v>10174.999999999998</v>
      </c>
      <c r="O42" s="149">
        <f t="shared" si="23"/>
        <v>2048</v>
      </c>
      <c r="Q42" s="56">
        <v>0.1</v>
      </c>
      <c r="R42" s="2">
        <f t="shared" si="24"/>
        <v>81710984213511.031</v>
      </c>
      <c r="S42" s="83">
        <f t="shared" si="41"/>
        <v>0.85498797333834864</v>
      </c>
      <c r="T42" s="2">
        <f t="shared" si="48"/>
        <v>9512.4105240114768</v>
      </c>
      <c r="U42" s="160">
        <f t="shared" si="49"/>
        <v>144.86429314207049</v>
      </c>
      <c r="AA42" s="2">
        <f>AA12/(AC12*1000)</f>
        <v>2666500000</v>
      </c>
    </row>
    <row r="43" spans="2:30" x14ac:dyDescent="0.35">
      <c r="E43" s="2">
        <v>1000000000</v>
      </c>
      <c r="F43" t="s">
        <v>8</v>
      </c>
      <c r="I43" t="s">
        <v>294</v>
      </c>
      <c r="O43" s="149">
        <f t="shared" si="23"/>
        <v>2049</v>
      </c>
      <c r="Q43" s="56">
        <v>0.1</v>
      </c>
      <c r="R43" s="2">
        <f t="shared" si="24"/>
        <v>89882082634862.141</v>
      </c>
      <c r="S43" s="83">
        <f t="shared" si="41"/>
        <v>0.85498797333834864</v>
      </c>
      <c r="T43" s="2">
        <f t="shared" si="48"/>
        <v>10463.651576412625</v>
      </c>
      <c r="U43" s="160">
        <f t="shared" si="49"/>
        <v>159.35072245627757</v>
      </c>
      <c r="AA43" s="2">
        <f>R48</f>
        <v>1000000000</v>
      </c>
    </row>
    <row r="44" spans="2:30" ht="15" thickBot="1" x14ac:dyDescent="0.4">
      <c r="E44" s="2">
        <v>1000000</v>
      </c>
      <c r="F44" t="s">
        <v>9</v>
      </c>
      <c r="I44" t="s">
        <v>295</v>
      </c>
      <c r="O44" s="1147">
        <f t="shared" si="23"/>
        <v>2050</v>
      </c>
      <c r="P44" s="85"/>
      <c r="Q44" s="1150">
        <v>0.1</v>
      </c>
      <c r="R44" s="684">
        <f>R43*(1+Q44)</f>
        <v>98870290898348.359</v>
      </c>
      <c r="S44" s="1158">
        <f t="shared" si="41"/>
        <v>0.85498797333834864</v>
      </c>
      <c r="T44" s="684">
        <f>T43*(1+Q44)</f>
        <v>11510.016734053888</v>
      </c>
      <c r="U44" s="1160">
        <f>U43*(1+Q44)</f>
        <v>175.28579470190533</v>
      </c>
      <c r="AA44" s="2"/>
    </row>
    <row r="45" spans="2:30" ht="15" thickTop="1" x14ac:dyDescent="0.35">
      <c r="E45" s="2">
        <f>E44*E44</f>
        <v>1000000000000</v>
      </c>
      <c r="F45" t="s">
        <v>297</v>
      </c>
      <c r="I45" t="s">
        <v>298</v>
      </c>
      <c r="O45" s="44"/>
      <c r="P45" s="31"/>
      <c r="Q45" s="31"/>
      <c r="R45" s="31"/>
      <c r="S45" s="31"/>
      <c r="T45" s="31"/>
      <c r="U45" s="31"/>
      <c r="AA45" s="2"/>
    </row>
    <row r="46" spans="2:30" x14ac:dyDescent="0.35">
      <c r="E46" s="2">
        <v>1000000</v>
      </c>
      <c r="F46" t="s">
        <v>299</v>
      </c>
      <c r="O46" s="44"/>
      <c r="R46" t="s">
        <v>310</v>
      </c>
      <c r="AA46" s="2"/>
    </row>
    <row r="47" spans="2:30" x14ac:dyDescent="0.35">
      <c r="O47" s="44"/>
      <c r="R47" s="2">
        <f>R12/T12</f>
        <v>8589934592</v>
      </c>
      <c r="AA47" s="2"/>
    </row>
    <row r="48" spans="2:30" x14ac:dyDescent="0.35">
      <c r="O48" s="44"/>
      <c r="R48" s="2">
        <v>1000000000</v>
      </c>
      <c r="AA48" s="2"/>
    </row>
    <row r="49" spans="2:30" x14ac:dyDescent="0.35">
      <c r="O49" s="44"/>
      <c r="R49" s="2"/>
      <c r="AA49" s="2"/>
    </row>
    <row r="50" spans="2:30" x14ac:dyDescent="0.35">
      <c r="O50" s="44"/>
      <c r="R50" s="2"/>
      <c r="AA50" s="2"/>
    </row>
    <row r="51" spans="2:30" s="16" customFormat="1" ht="21.5" thickBot="1" x14ac:dyDescent="0.55000000000000004">
      <c r="B51" s="239" t="s">
        <v>854</v>
      </c>
      <c r="C51" s="240"/>
      <c r="D51" s="240"/>
      <c r="E51" s="240"/>
      <c r="F51" s="240"/>
      <c r="O51" s="239" t="s">
        <v>854</v>
      </c>
      <c r="P51" s="240"/>
      <c r="Q51" s="239"/>
      <c r="R51" s="240"/>
      <c r="S51" s="240"/>
      <c r="X51" s="239" t="s">
        <v>855</v>
      </c>
      <c r="Y51" s="240"/>
      <c r="Z51" s="239"/>
      <c r="AA51" s="240"/>
      <c r="AB51" s="240"/>
    </row>
    <row r="52" spans="2:30" ht="15" thickTop="1" x14ac:dyDescent="0.35">
      <c r="B52" s="60" t="s">
        <v>7</v>
      </c>
      <c r="C52" s="61" t="str">
        <f>C5</f>
        <v>Chip name &amp; notes</v>
      </c>
      <c r="D52" s="61" t="s">
        <v>521</v>
      </c>
      <c r="E52" s="61" t="s">
        <v>258</v>
      </c>
      <c r="F52" s="61" t="s">
        <v>281</v>
      </c>
      <c r="G52" s="61" t="s">
        <v>300</v>
      </c>
      <c r="H52" s="61" t="s">
        <v>301</v>
      </c>
      <c r="I52" s="61" t="s">
        <v>302</v>
      </c>
      <c r="J52" s="61" t="s">
        <v>304</v>
      </c>
      <c r="K52" s="61" t="str">
        <f t="shared" ref="K52:L54" si="50">K5</f>
        <v>X increase</v>
      </c>
      <c r="L52" s="62" t="str">
        <f t="shared" si="50"/>
        <v>X increase</v>
      </c>
      <c r="O52" s="60" t="s">
        <v>7</v>
      </c>
      <c r="P52" s="61" t="s">
        <v>277</v>
      </c>
      <c r="Q52" s="61" t="s">
        <v>521</v>
      </c>
      <c r="R52" s="61" t="s">
        <v>258</v>
      </c>
      <c r="S52" s="61" t="s">
        <v>281</v>
      </c>
      <c r="T52" s="61" t="s">
        <v>305</v>
      </c>
      <c r="U52" s="62" t="s">
        <v>278</v>
      </c>
      <c r="X52" s="60" t="s">
        <v>7</v>
      </c>
      <c r="Y52" s="61" t="s">
        <v>13</v>
      </c>
      <c r="Z52" s="61" t="s">
        <v>521</v>
      </c>
      <c r="AA52" s="61" t="s">
        <v>258</v>
      </c>
      <c r="AB52" s="61" t="s">
        <v>281</v>
      </c>
      <c r="AC52" s="61" t="s">
        <v>306</v>
      </c>
      <c r="AD52" s="62" t="s">
        <v>278</v>
      </c>
    </row>
    <row r="53" spans="2:30" x14ac:dyDescent="0.35">
      <c r="B53" s="63">
        <v>1989</v>
      </c>
      <c r="C53" s="84" t="str">
        <f>C6</f>
        <v>Intel 80486</v>
      </c>
      <c r="D53" s="141" t="s">
        <v>522</v>
      </c>
      <c r="E53" s="242" t="s">
        <v>220</v>
      </c>
      <c r="F53" s="64" t="s">
        <v>220</v>
      </c>
      <c r="G53" s="246" t="s">
        <v>220</v>
      </c>
      <c r="H53" s="245" t="s">
        <v>135</v>
      </c>
      <c r="I53" s="245" t="s">
        <v>135</v>
      </c>
      <c r="J53" s="247" t="s">
        <v>135</v>
      </c>
      <c r="K53" s="84" t="str">
        <f t="shared" si="50"/>
        <v>in flops</v>
      </c>
      <c r="L53" s="65" t="str">
        <f t="shared" si="50"/>
        <v>in flops</v>
      </c>
      <c r="O53" s="63">
        <v>1991</v>
      </c>
      <c r="P53" s="84" t="s">
        <v>279</v>
      </c>
      <c r="Q53" s="141" t="s">
        <v>522</v>
      </c>
      <c r="R53" s="242" t="s">
        <v>217</v>
      </c>
      <c r="S53" s="242" t="s">
        <v>217</v>
      </c>
      <c r="T53" s="248" t="s">
        <v>217</v>
      </c>
      <c r="U53" s="112" t="s">
        <v>376</v>
      </c>
      <c r="X53" s="63">
        <v>1994</v>
      </c>
      <c r="Y53" s="84" t="s">
        <v>284</v>
      </c>
      <c r="Z53" s="141" t="s">
        <v>522</v>
      </c>
      <c r="AA53" s="242" t="s">
        <v>217</v>
      </c>
      <c r="AB53" s="242" t="s">
        <v>217</v>
      </c>
      <c r="AC53" s="84"/>
      <c r="AD53" s="112" t="s">
        <v>376</v>
      </c>
    </row>
    <row r="54" spans="2:30" ht="15" thickBot="1" x14ac:dyDescent="0.4">
      <c r="B54" s="63">
        <v>2023</v>
      </c>
      <c r="C54" s="84" t="str">
        <f>C7</f>
        <v>Nvidia H100</v>
      </c>
      <c r="D54" s="141" t="s">
        <v>520</v>
      </c>
      <c r="E54" s="242" t="s">
        <v>142</v>
      </c>
      <c r="F54" s="64" t="s">
        <v>142</v>
      </c>
      <c r="G54" s="161" t="s">
        <v>142</v>
      </c>
      <c r="H54" s="245" t="s">
        <v>135</v>
      </c>
      <c r="I54" s="245" t="s">
        <v>135</v>
      </c>
      <c r="J54" s="247" t="s">
        <v>135</v>
      </c>
      <c r="K54" s="84" t="str">
        <f t="shared" si="50"/>
        <v>per chipset</v>
      </c>
      <c r="L54" s="381" t="str">
        <f t="shared" si="50"/>
        <v>per chipset</v>
      </c>
      <c r="O54" s="63">
        <v>2018</v>
      </c>
      <c r="P54" s="84" t="s">
        <v>282</v>
      </c>
      <c r="Q54" s="141" t="s">
        <v>520</v>
      </c>
      <c r="R54" s="242" t="s">
        <v>217</v>
      </c>
      <c r="S54" s="242" t="s">
        <v>217</v>
      </c>
      <c r="T54" s="248" t="s">
        <v>217</v>
      </c>
      <c r="U54" s="112" t="s">
        <v>305</v>
      </c>
      <c r="X54" s="63">
        <v>2023</v>
      </c>
      <c r="Y54" s="84" t="s">
        <v>288</v>
      </c>
      <c r="Z54" s="141" t="s">
        <v>520</v>
      </c>
      <c r="AA54" s="242" t="s">
        <v>217</v>
      </c>
      <c r="AB54" s="1" t="s">
        <v>286</v>
      </c>
      <c r="AC54" s="84"/>
      <c r="AD54" s="112" t="s">
        <v>306</v>
      </c>
    </row>
    <row r="55" spans="2:30" ht="15" thickTop="1" x14ac:dyDescent="0.35">
      <c r="B55" s="306" t="str">
        <f>B8</f>
        <v>Growth 1989 to 2023</v>
      </c>
      <c r="C55" s="357"/>
      <c r="D55" s="364" t="str">
        <f>D8</f>
        <v>-</v>
      </c>
      <c r="E55" s="373" t="s">
        <v>135</v>
      </c>
      <c r="F55" s="373" t="s">
        <v>135</v>
      </c>
      <c r="G55" s="373" t="s">
        <v>135</v>
      </c>
      <c r="H55" s="373" t="s">
        <v>135</v>
      </c>
      <c r="I55" s="373" t="s">
        <v>135</v>
      </c>
      <c r="J55" s="373" t="s">
        <v>135</v>
      </c>
      <c r="K55" s="373" t="s">
        <v>45</v>
      </c>
      <c r="L55" s="374" t="s">
        <v>45</v>
      </c>
      <c r="O55" s="306" t="str">
        <f>O8</f>
        <v>Growth 1991 to 2018</v>
      </c>
      <c r="P55" s="313"/>
      <c r="Q55" s="364" t="s">
        <v>45</v>
      </c>
      <c r="R55" s="383" t="s">
        <v>135</v>
      </c>
      <c r="S55" s="331" t="s">
        <v>135</v>
      </c>
      <c r="T55" s="331" t="s">
        <v>135</v>
      </c>
      <c r="U55" s="332" t="s">
        <v>45</v>
      </c>
      <c r="X55" s="306" t="str">
        <f>X8</f>
        <v>Growth 1994 to 2023</v>
      </c>
      <c r="Y55" s="313"/>
      <c r="Z55" s="364" t="s">
        <v>45</v>
      </c>
      <c r="AA55" s="313"/>
      <c r="AB55" s="307" t="s">
        <v>135</v>
      </c>
      <c r="AC55" s="307" t="s">
        <v>135</v>
      </c>
      <c r="AD55" s="365"/>
    </row>
    <row r="56" spans="2:30" x14ac:dyDescent="0.35">
      <c r="B56" s="302" t="str">
        <f>B9</f>
        <v>Growth 2023 to 2029</v>
      </c>
      <c r="C56" s="359"/>
      <c r="D56" s="363" t="str">
        <f>D9</f>
        <v>-</v>
      </c>
      <c r="E56" s="375" t="s">
        <v>135</v>
      </c>
      <c r="F56" s="375" t="s">
        <v>135</v>
      </c>
      <c r="G56" s="375" t="s">
        <v>135</v>
      </c>
      <c r="H56" s="375" t="s">
        <v>135</v>
      </c>
      <c r="I56" s="375" t="s">
        <v>135</v>
      </c>
      <c r="J56" s="375" t="s">
        <v>135</v>
      </c>
      <c r="K56" s="375" t="s">
        <v>135</v>
      </c>
      <c r="L56" s="376" t="s">
        <v>45</v>
      </c>
      <c r="O56" s="302" t="str">
        <f>O9</f>
        <v>Growth 2023 to 2029</v>
      </c>
      <c r="P56" s="101"/>
      <c r="Q56" s="363" t="s">
        <v>45</v>
      </c>
      <c r="R56" s="336" t="s">
        <v>135</v>
      </c>
      <c r="S56" s="336" t="s">
        <v>135</v>
      </c>
      <c r="T56" s="336" t="s">
        <v>135</v>
      </c>
      <c r="U56" s="336" t="s">
        <v>135</v>
      </c>
      <c r="X56" s="302" t="str">
        <f>X9</f>
        <v>Growth 2023 to 2029</v>
      </c>
      <c r="Y56" s="101"/>
      <c r="Z56" s="363" t="s">
        <v>45</v>
      </c>
      <c r="AA56" s="101"/>
      <c r="AB56" s="312"/>
      <c r="AC56" s="312"/>
      <c r="AD56" s="319"/>
    </row>
    <row r="57" spans="2:30" x14ac:dyDescent="0.35">
      <c r="B57" s="302" t="str">
        <f>B10</f>
        <v>Growth 2029 to 2045</v>
      </c>
      <c r="C57" s="359"/>
      <c r="D57" s="363" t="str">
        <f>D10</f>
        <v>-</v>
      </c>
      <c r="E57" s="375" t="s">
        <v>135</v>
      </c>
      <c r="F57" s="375" t="s">
        <v>135</v>
      </c>
      <c r="G57" s="375" t="s">
        <v>135</v>
      </c>
      <c r="H57" s="375" t="s">
        <v>135</v>
      </c>
      <c r="I57" s="375" t="s">
        <v>135</v>
      </c>
      <c r="J57" s="375" t="s">
        <v>135</v>
      </c>
      <c r="K57" s="375" t="s">
        <v>135</v>
      </c>
      <c r="L57" s="376" t="s">
        <v>135</v>
      </c>
      <c r="O57" s="302" t="str">
        <f>O10</f>
        <v>Growth 2029 to 2045</v>
      </c>
      <c r="P57" s="101"/>
      <c r="Q57" s="363" t="s">
        <v>45</v>
      </c>
      <c r="R57" s="336" t="s">
        <v>135</v>
      </c>
      <c r="S57" s="336" t="s">
        <v>135</v>
      </c>
      <c r="T57" s="336" t="s">
        <v>135</v>
      </c>
      <c r="U57" s="336" t="s">
        <v>135</v>
      </c>
      <c r="X57" s="302" t="str">
        <f>X10</f>
        <v>Growth 2029 to 2045</v>
      </c>
      <c r="Y57" s="101"/>
      <c r="Z57" s="363" t="s">
        <v>45</v>
      </c>
      <c r="AA57" s="101"/>
      <c r="AB57" s="312"/>
      <c r="AC57" s="312"/>
      <c r="AD57" s="319"/>
    </row>
    <row r="58" spans="2:30" ht="15" thickBot="1" x14ac:dyDescent="0.4">
      <c r="B58" s="66" t="str">
        <f>B11</f>
        <v>Growth 2023 to 2045</v>
      </c>
      <c r="C58" s="88"/>
      <c r="D58" s="252" t="str">
        <f>D11</f>
        <v>-</v>
      </c>
      <c r="E58" s="377" t="s">
        <v>135</v>
      </c>
      <c r="F58" s="377" t="s">
        <v>135</v>
      </c>
      <c r="G58" s="377" t="s">
        <v>135</v>
      </c>
      <c r="H58" s="377" t="s">
        <v>135</v>
      </c>
      <c r="I58" s="377" t="s">
        <v>135</v>
      </c>
      <c r="J58" s="377" t="s">
        <v>135</v>
      </c>
      <c r="K58" s="377" t="s">
        <v>135</v>
      </c>
      <c r="L58" s="378" t="s">
        <v>45</v>
      </c>
      <c r="O58" s="66" t="str">
        <f>O11</f>
        <v>Growth 2023 to 2045</v>
      </c>
      <c r="P58" s="75"/>
      <c r="Q58" s="252" t="s">
        <v>45</v>
      </c>
      <c r="R58" s="304" t="s">
        <v>135</v>
      </c>
      <c r="S58" s="304" t="s">
        <v>135</v>
      </c>
      <c r="T58" s="304" t="s">
        <v>135</v>
      </c>
      <c r="U58" s="304" t="s">
        <v>135</v>
      </c>
      <c r="X58" s="66" t="str">
        <f>X11</f>
        <v>Growth 2023 to 2045</v>
      </c>
      <c r="Y58" s="75"/>
      <c r="Z58" s="252" t="s">
        <v>45</v>
      </c>
      <c r="AA58" s="75"/>
      <c r="AB58" s="80"/>
      <c r="AC58" s="80"/>
      <c r="AD58" s="111"/>
    </row>
    <row r="59" spans="2:30" ht="15" thickTop="1" x14ac:dyDescent="0.35">
      <c r="B59" s="149">
        <f>B54</f>
        <v>2023</v>
      </c>
      <c r="C59" s="7"/>
      <c r="D59" s="56" t="s">
        <v>225</v>
      </c>
      <c r="E59" s="250" t="s">
        <v>225</v>
      </c>
      <c r="F59" s="56" t="s">
        <v>225</v>
      </c>
      <c r="G59" s="56" t="s">
        <v>225</v>
      </c>
      <c r="H59" s="34" t="s">
        <v>135</v>
      </c>
      <c r="I59" s="34" t="s">
        <v>135</v>
      </c>
      <c r="J59" s="2" t="s">
        <v>135</v>
      </c>
      <c r="K59" s="6">
        <v>1</v>
      </c>
      <c r="L59" s="379" t="s">
        <v>45</v>
      </c>
      <c r="O59" s="149">
        <f>O54</f>
        <v>2018</v>
      </c>
      <c r="P59" s="7" t="s">
        <v>283</v>
      </c>
      <c r="Q59" s="56" t="s">
        <v>225</v>
      </c>
      <c r="R59" s="250" t="s">
        <v>225</v>
      </c>
      <c r="S59" s="56" t="s">
        <v>225</v>
      </c>
      <c r="T59" s="56" t="s">
        <v>225</v>
      </c>
      <c r="U59" s="53"/>
      <c r="X59" s="149">
        <f>X54</f>
        <v>2023</v>
      </c>
      <c r="Y59" s="7" t="s">
        <v>285</v>
      </c>
      <c r="Z59" s="56"/>
      <c r="AA59" s="130" t="s">
        <v>225</v>
      </c>
      <c r="AB59" s="83" t="s">
        <v>225</v>
      </c>
      <c r="AC59" s="130" t="s">
        <v>225</v>
      </c>
      <c r="AD59" s="289" t="s">
        <v>225</v>
      </c>
    </row>
    <row r="60" spans="2:30" x14ac:dyDescent="0.35">
      <c r="B60" s="149">
        <f>B59+1</f>
        <v>2024</v>
      </c>
      <c r="D60" s="56" t="s">
        <v>225</v>
      </c>
      <c r="E60" s="130" t="s">
        <v>135</v>
      </c>
      <c r="F60" s="83" t="s">
        <v>135</v>
      </c>
      <c r="G60" s="83" t="s">
        <v>135</v>
      </c>
      <c r="H60" s="130" t="s">
        <v>135</v>
      </c>
      <c r="I60" s="130" t="s">
        <v>135</v>
      </c>
      <c r="J60" s="83" t="s">
        <v>135</v>
      </c>
      <c r="K60" s="6" t="s">
        <v>135</v>
      </c>
      <c r="L60" s="379" t="s">
        <v>45</v>
      </c>
      <c r="O60" s="149">
        <f>O59+1</f>
        <v>2019</v>
      </c>
      <c r="Q60" s="56" t="s">
        <v>225</v>
      </c>
      <c r="R60" s="130" t="s">
        <v>135</v>
      </c>
      <c r="S60" s="83" t="s">
        <v>135</v>
      </c>
      <c r="T60" s="83" t="s">
        <v>135</v>
      </c>
      <c r="U60" s="53"/>
      <c r="X60" s="149">
        <f>X59+1</f>
        <v>2024</v>
      </c>
      <c r="Z60" s="56"/>
      <c r="AA60" s="130" t="s">
        <v>135</v>
      </c>
      <c r="AB60" s="83" t="s">
        <v>135</v>
      </c>
      <c r="AC60" s="130" t="s">
        <v>135</v>
      </c>
      <c r="AD60" s="289" t="s">
        <v>135</v>
      </c>
    </row>
    <row r="61" spans="2:30" x14ac:dyDescent="0.35">
      <c r="B61" s="149">
        <f t="shared" ref="B61:B81" si="51">B60+1</f>
        <v>2025</v>
      </c>
      <c r="D61" s="56" t="s">
        <v>225</v>
      </c>
      <c r="E61" s="130" t="s">
        <v>135</v>
      </c>
      <c r="F61" s="83" t="s">
        <v>135</v>
      </c>
      <c r="G61" s="83" t="s">
        <v>135</v>
      </c>
      <c r="H61" s="130" t="s">
        <v>135</v>
      </c>
      <c r="I61" s="130" t="s">
        <v>135</v>
      </c>
      <c r="J61" s="83" t="s">
        <v>135</v>
      </c>
      <c r="K61" s="6" t="s">
        <v>135</v>
      </c>
      <c r="L61" s="379" t="s">
        <v>45</v>
      </c>
      <c r="O61" s="149">
        <f t="shared" ref="O61:O86" si="52">O60+1</f>
        <v>2020</v>
      </c>
      <c r="Q61" s="56" t="s">
        <v>225</v>
      </c>
      <c r="R61" s="130" t="s">
        <v>135</v>
      </c>
      <c r="S61" s="83" t="s">
        <v>135</v>
      </c>
      <c r="T61" s="83" t="s">
        <v>135</v>
      </c>
      <c r="U61" s="53"/>
      <c r="X61" s="149">
        <f t="shared" ref="X61:X81" si="53">X60+1</f>
        <v>2025</v>
      </c>
      <c r="Z61" s="56"/>
      <c r="AA61" s="130" t="s">
        <v>135</v>
      </c>
      <c r="AB61" s="83" t="s">
        <v>135</v>
      </c>
      <c r="AC61" s="130" t="s">
        <v>135</v>
      </c>
      <c r="AD61" s="289" t="s">
        <v>135</v>
      </c>
    </row>
    <row r="62" spans="2:30" x14ac:dyDescent="0.35">
      <c r="B62" s="149">
        <f t="shared" si="51"/>
        <v>2026</v>
      </c>
      <c r="D62" s="56" t="s">
        <v>225</v>
      </c>
      <c r="E62" s="130" t="s">
        <v>135</v>
      </c>
      <c r="F62" s="83" t="s">
        <v>135</v>
      </c>
      <c r="G62" s="83" t="s">
        <v>135</v>
      </c>
      <c r="H62" s="130" t="s">
        <v>135</v>
      </c>
      <c r="I62" s="130" t="s">
        <v>135</v>
      </c>
      <c r="J62" s="83" t="s">
        <v>135</v>
      </c>
      <c r="K62" s="6" t="s">
        <v>135</v>
      </c>
      <c r="L62" s="110">
        <v>1</v>
      </c>
      <c r="O62" s="149">
        <f t="shared" si="52"/>
        <v>2021</v>
      </c>
      <c r="Q62" s="56" t="s">
        <v>225</v>
      </c>
      <c r="R62" s="130" t="s">
        <v>135</v>
      </c>
      <c r="S62" s="83" t="s">
        <v>135</v>
      </c>
      <c r="T62" s="83" t="s">
        <v>135</v>
      </c>
      <c r="U62" s="53"/>
      <c r="X62" s="149">
        <f t="shared" si="53"/>
        <v>2026</v>
      </c>
      <c r="Z62" s="56"/>
      <c r="AA62" s="130" t="s">
        <v>135</v>
      </c>
      <c r="AB62" s="83" t="s">
        <v>135</v>
      </c>
      <c r="AC62" s="130" t="s">
        <v>135</v>
      </c>
      <c r="AD62" s="289" t="s">
        <v>135</v>
      </c>
    </row>
    <row r="63" spans="2:30" x14ac:dyDescent="0.35">
      <c r="B63" s="149">
        <f t="shared" si="51"/>
        <v>2027</v>
      </c>
      <c r="D63" s="56" t="s">
        <v>225</v>
      </c>
      <c r="E63" s="130" t="s">
        <v>135</v>
      </c>
      <c r="F63" s="83" t="s">
        <v>135</v>
      </c>
      <c r="G63" s="83" t="s">
        <v>135</v>
      </c>
      <c r="H63" s="130" t="s">
        <v>135</v>
      </c>
      <c r="I63" s="130" t="s">
        <v>135</v>
      </c>
      <c r="J63" s="83" t="s">
        <v>135</v>
      </c>
      <c r="K63" s="6" t="s">
        <v>135</v>
      </c>
      <c r="L63" s="110" t="s">
        <v>135</v>
      </c>
      <c r="O63" s="149">
        <f t="shared" si="52"/>
        <v>2022</v>
      </c>
      <c r="Q63" s="56" t="s">
        <v>225</v>
      </c>
      <c r="R63" s="130" t="s">
        <v>135</v>
      </c>
      <c r="S63" s="83" t="s">
        <v>135</v>
      </c>
      <c r="T63" s="83" t="s">
        <v>135</v>
      </c>
      <c r="U63" s="53"/>
      <c r="X63" s="149">
        <f t="shared" si="53"/>
        <v>2027</v>
      </c>
      <c r="Z63" s="56"/>
      <c r="AA63" s="130" t="s">
        <v>135</v>
      </c>
      <c r="AB63" s="83" t="s">
        <v>135</v>
      </c>
      <c r="AC63" s="130" t="s">
        <v>135</v>
      </c>
      <c r="AD63" s="289" t="s">
        <v>135</v>
      </c>
    </row>
    <row r="64" spans="2:30" x14ac:dyDescent="0.35">
      <c r="B64" s="149">
        <f t="shared" si="51"/>
        <v>2028</v>
      </c>
      <c r="D64" s="56" t="s">
        <v>225</v>
      </c>
      <c r="E64" s="130" t="s">
        <v>135</v>
      </c>
      <c r="F64" s="83" t="s">
        <v>135</v>
      </c>
      <c r="G64" s="83" t="s">
        <v>135</v>
      </c>
      <c r="H64" s="130" t="s">
        <v>135</v>
      </c>
      <c r="I64" s="130" t="s">
        <v>135</v>
      </c>
      <c r="J64" s="83" t="s">
        <v>135</v>
      </c>
      <c r="K64" s="6" t="s">
        <v>135</v>
      </c>
      <c r="L64" s="110" t="s">
        <v>135</v>
      </c>
      <c r="O64" s="149">
        <f t="shared" si="52"/>
        <v>2023</v>
      </c>
      <c r="Q64" s="56" t="s">
        <v>225</v>
      </c>
      <c r="R64" s="250" t="s">
        <v>225</v>
      </c>
      <c r="S64" s="83" t="s">
        <v>135</v>
      </c>
      <c r="T64" s="83" t="s">
        <v>135</v>
      </c>
      <c r="U64" s="110">
        <v>1</v>
      </c>
      <c r="X64" s="149">
        <f t="shared" si="53"/>
        <v>2028</v>
      </c>
      <c r="Z64" s="56"/>
      <c r="AA64" s="130" t="s">
        <v>135</v>
      </c>
      <c r="AB64" s="83" t="s">
        <v>135</v>
      </c>
      <c r="AC64" s="130" t="s">
        <v>135</v>
      </c>
      <c r="AD64" s="289" t="s">
        <v>135</v>
      </c>
    </row>
    <row r="65" spans="2:30" x14ac:dyDescent="0.35">
      <c r="B65" s="517">
        <f t="shared" si="51"/>
        <v>2029</v>
      </c>
      <c r="C65" s="1"/>
      <c r="D65" s="519" t="s">
        <v>225</v>
      </c>
      <c r="E65" s="663" t="s">
        <v>135</v>
      </c>
      <c r="F65" s="660" t="s">
        <v>135</v>
      </c>
      <c r="G65" s="660" t="s">
        <v>135</v>
      </c>
      <c r="H65" s="663" t="s">
        <v>135</v>
      </c>
      <c r="I65" s="663" t="s">
        <v>135</v>
      </c>
      <c r="J65" s="660" t="s">
        <v>135</v>
      </c>
      <c r="K65" s="231" t="s">
        <v>135</v>
      </c>
      <c r="L65" s="661" t="s">
        <v>135</v>
      </c>
      <c r="O65" s="149">
        <f t="shared" si="52"/>
        <v>2024</v>
      </c>
      <c r="Q65" s="56" t="s">
        <v>225</v>
      </c>
      <c r="R65" s="130" t="s">
        <v>135</v>
      </c>
      <c r="S65" s="83" t="s">
        <v>135</v>
      </c>
      <c r="T65" s="83" t="s">
        <v>135</v>
      </c>
      <c r="U65" s="160" t="s">
        <v>135</v>
      </c>
      <c r="X65" s="517">
        <f t="shared" si="53"/>
        <v>2029</v>
      </c>
      <c r="Y65" s="1"/>
      <c r="Z65" s="519"/>
      <c r="AA65" s="663" t="s">
        <v>135</v>
      </c>
      <c r="AB65" s="660" t="s">
        <v>135</v>
      </c>
      <c r="AC65" s="663" t="s">
        <v>135</v>
      </c>
      <c r="AD65" s="664" t="s">
        <v>135</v>
      </c>
    </row>
    <row r="66" spans="2:30" x14ac:dyDescent="0.35">
      <c r="B66" s="149">
        <f t="shared" si="51"/>
        <v>2030</v>
      </c>
      <c r="D66" s="56" t="s">
        <v>225</v>
      </c>
      <c r="E66" s="130" t="s">
        <v>135</v>
      </c>
      <c r="F66" s="83" t="s">
        <v>135</v>
      </c>
      <c r="G66" s="83" t="s">
        <v>135</v>
      </c>
      <c r="H66" s="130" t="s">
        <v>135</v>
      </c>
      <c r="I66" s="130" t="s">
        <v>135</v>
      </c>
      <c r="J66" s="83" t="s">
        <v>135</v>
      </c>
      <c r="K66" s="6" t="s">
        <v>135</v>
      </c>
      <c r="L66" s="110" t="s">
        <v>135</v>
      </c>
      <c r="O66" s="149">
        <f t="shared" si="52"/>
        <v>2025</v>
      </c>
      <c r="Q66" s="56" t="s">
        <v>225</v>
      </c>
      <c r="R66" s="130" t="s">
        <v>135</v>
      </c>
      <c r="S66" s="83" t="s">
        <v>135</v>
      </c>
      <c r="T66" s="83" t="s">
        <v>135</v>
      </c>
      <c r="U66" s="160" t="s">
        <v>135</v>
      </c>
      <c r="X66" s="149">
        <f t="shared" si="53"/>
        <v>2030</v>
      </c>
      <c r="Z66" s="56"/>
      <c r="AA66" s="130" t="s">
        <v>135</v>
      </c>
      <c r="AB66" s="83" t="s">
        <v>135</v>
      </c>
      <c r="AC66" s="130" t="s">
        <v>135</v>
      </c>
      <c r="AD66" s="289" t="s">
        <v>135</v>
      </c>
    </row>
    <row r="67" spans="2:30" x14ac:dyDescent="0.35">
      <c r="B67" s="149">
        <f t="shared" si="51"/>
        <v>2031</v>
      </c>
      <c r="D67" s="56" t="s">
        <v>225</v>
      </c>
      <c r="E67" s="130" t="s">
        <v>135</v>
      </c>
      <c r="F67" s="83" t="s">
        <v>135</v>
      </c>
      <c r="G67" s="83" t="s">
        <v>135</v>
      </c>
      <c r="H67" s="130" t="s">
        <v>135</v>
      </c>
      <c r="I67" s="130" t="s">
        <v>135</v>
      </c>
      <c r="J67" s="83" t="s">
        <v>135</v>
      </c>
      <c r="K67" s="6" t="s">
        <v>135</v>
      </c>
      <c r="L67" s="110" t="s">
        <v>135</v>
      </c>
      <c r="O67" s="149">
        <f t="shared" si="52"/>
        <v>2026</v>
      </c>
      <c r="Q67" s="56" t="s">
        <v>225</v>
      </c>
      <c r="R67" s="130" t="s">
        <v>135</v>
      </c>
      <c r="S67" s="83" t="s">
        <v>135</v>
      </c>
      <c r="T67" s="83" t="s">
        <v>135</v>
      </c>
      <c r="U67" s="160" t="s">
        <v>135</v>
      </c>
      <c r="X67" s="149">
        <f t="shared" si="53"/>
        <v>2031</v>
      </c>
      <c r="Z67" s="56"/>
      <c r="AA67" s="130" t="s">
        <v>135</v>
      </c>
      <c r="AB67" s="83" t="s">
        <v>135</v>
      </c>
      <c r="AC67" s="130" t="s">
        <v>135</v>
      </c>
      <c r="AD67" s="289" t="s">
        <v>135</v>
      </c>
    </row>
    <row r="68" spans="2:30" x14ac:dyDescent="0.35">
      <c r="B68" s="149">
        <f t="shared" si="51"/>
        <v>2032</v>
      </c>
      <c r="C68" s="37" t="s">
        <v>529</v>
      </c>
      <c r="D68" s="56" t="s">
        <v>1023</v>
      </c>
      <c r="E68" s="130" t="s">
        <v>135</v>
      </c>
      <c r="F68" s="83"/>
      <c r="G68" s="2"/>
      <c r="H68" s="130" t="s">
        <v>135</v>
      </c>
      <c r="I68" s="130" t="s">
        <v>135</v>
      </c>
      <c r="J68" s="83" t="s">
        <v>135</v>
      </c>
      <c r="K68" s="6" t="s">
        <v>135</v>
      </c>
      <c r="L68" s="110" t="s">
        <v>135</v>
      </c>
      <c r="O68" s="149">
        <f t="shared" si="52"/>
        <v>2027</v>
      </c>
      <c r="Q68" s="56" t="s">
        <v>225</v>
      </c>
      <c r="R68" s="130" t="s">
        <v>135</v>
      </c>
      <c r="S68" s="83" t="s">
        <v>135</v>
      </c>
      <c r="T68" s="83" t="s">
        <v>135</v>
      </c>
      <c r="U68" s="160" t="s">
        <v>135</v>
      </c>
      <c r="X68" s="149">
        <f t="shared" si="53"/>
        <v>2032</v>
      </c>
      <c r="Z68" s="56"/>
      <c r="AA68" s="130" t="s">
        <v>135</v>
      </c>
      <c r="AB68" s="83" t="s">
        <v>135</v>
      </c>
      <c r="AC68" s="130" t="s">
        <v>135</v>
      </c>
      <c r="AD68" s="289" t="s">
        <v>135</v>
      </c>
    </row>
    <row r="69" spans="2:30" x14ac:dyDescent="0.35">
      <c r="B69" s="149">
        <f t="shared" si="51"/>
        <v>2033</v>
      </c>
      <c r="C69" s="37" t="s">
        <v>523</v>
      </c>
      <c r="D69" s="56" t="s">
        <v>225</v>
      </c>
      <c r="E69" s="130" t="s">
        <v>135</v>
      </c>
      <c r="F69" s="83"/>
      <c r="G69" s="2"/>
      <c r="H69" s="130" t="s">
        <v>135</v>
      </c>
      <c r="I69" s="130" t="s">
        <v>135</v>
      </c>
      <c r="J69" s="83" t="s">
        <v>135</v>
      </c>
      <c r="K69" s="6" t="s">
        <v>135</v>
      </c>
      <c r="L69" s="110" t="s">
        <v>135</v>
      </c>
      <c r="O69" s="149">
        <f t="shared" si="52"/>
        <v>2028</v>
      </c>
      <c r="Q69" s="56" t="s">
        <v>225</v>
      </c>
      <c r="R69" s="250" t="s">
        <v>225</v>
      </c>
      <c r="S69" s="83" t="s">
        <v>135</v>
      </c>
      <c r="T69" s="83" t="s">
        <v>135</v>
      </c>
      <c r="U69" s="160" t="s">
        <v>135</v>
      </c>
      <c r="X69" s="149">
        <f t="shared" si="53"/>
        <v>2033</v>
      </c>
      <c r="Y69" s="37" t="s">
        <v>529</v>
      </c>
      <c r="Z69" s="56"/>
      <c r="AA69" s="130" t="s">
        <v>135</v>
      </c>
      <c r="AB69" s="83" t="s">
        <v>135</v>
      </c>
      <c r="AC69" s="130" t="s">
        <v>135</v>
      </c>
      <c r="AD69" s="289" t="s">
        <v>135</v>
      </c>
    </row>
    <row r="70" spans="2:30" x14ac:dyDescent="0.35">
      <c r="B70" s="149">
        <f t="shared" si="51"/>
        <v>2034</v>
      </c>
      <c r="D70" s="56" t="s">
        <v>225</v>
      </c>
      <c r="E70" s="130" t="s">
        <v>135</v>
      </c>
      <c r="F70" s="83"/>
      <c r="G70" s="2"/>
      <c r="H70" s="130" t="s">
        <v>135</v>
      </c>
      <c r="I70" s="130" t="s">
        <v>135</v>
      </c>
      <c r="J70" s="83" t="s">
        <v>135</v>
      </c>
      <c r="K70" s="6" t="s">
        <v>135</v>
      </c>
      <c r="L70" s="110" t="s">
        <v>135</v>
      </c>
      <c r="O70" s="517">
        <f t="shared" si="52"/>
        <v>2029</v>
      </c>
      <c r="P70" s="580"/>
      <c r="Q70" s="519" t="s">
        <v>225</v>
      </c>
      <c r="R70" s="663" t="s">
        <v>135</v>
      </c>
      <c r="S70" s="660" t="s">
        <v>135</v>
      </c>
      <c r="T70" s="660" t="s">
        <v>135</v>
      </c>
      <c r="U70" s="662" t="s">
        <v>135</v>
      </c>
      <c r="X70" s="149">
        <f t="shared" si="53"/>
        <v>2034</v>
      </c>
      <c r="Y70" s="37" t="s">
        <v>523</v>
      </c>
      <c r="Z70" s="56"/>
      <c r="AA70" s="130" t="s">
        <v>135</v>
      </c>
      <c r="AB70" s="83" t="s">
        <v>135</v>
      </c>
      <c r="AC70" s="130" t="s">
        <v>135</v>
      </c>
      <c r="AD70" s="289" t="s">
        <v>135</v>
      </c>
    </row>
    <row r="71" spans="2:30" x14ac:dyDescent="0.35">
      <c r="B71" s="517">
        <f t="shared" si="51"/>
        <v>2035</v>
      </c>
      <c r="C71" s="755"/>
      <c r="D71" s="519" t="s">
        <v>225</v>
      </c>
      <c r="E71" s="663" t="s">
        <v>135</v>
      </c>
      <c r="F71" s="660"/>
      <c r="G71" s="91"/>
      <c r="H71" s="663" t="s">
        <v>135</v>
      </c>
      <c r="I71" s="663" t="s">
        <v>135</v>
      </c>
      <c r="J71" s="660" t="s">
        <v>135</v>
      </c>
      <c r="K71" s="231" t="s">
        <v>135</v>
      </c>
      <c r="L71" s="661" t="s">
        <v>135</v>
      </c>
      <c r="O71" s="149">
        <f t="shared" si="52"/>
        <v>2030</v>
      </c>
      <c r="Q71" s="56" t="s">
        <v>225</v>
      </c>
      <c r="R71" s="130" t="s">
        <v>135</v>
      </c>
      <c r="S71" s="83" t="s">
        <v>135</v>
      </c>
      <c r="T71" s="83" t="s">
        <v>135</v>
      </c>
      <c r="U71" s="160" t="s">
        <v>135</v>
      </c>
      <c r="X71" s="517">
        <f t="shared" si="53"/>
        <v>2035</v>
      </c>
      <c r="Y71" s="580"/>
      <c r="Z71" s="519"/>
      <c r="AA71" s="663" t="s">
        <v>135</v>
      </c>
      <c r="AB71" s="660" t="s">
        <v>135</v>
      </c>
      <c r="AC71" s="663" t="s">
        <v>135</v>
      </c>
      <c r="AD71" s="664" t="s">
        <v>135</v>
      </c>
    </row>
    <row r="72" spans="2:30" x14ac:dyDescent="0.35">
      <c r="B72" s="149">
        <f t="shared" si="51"/>
        <v>2036</v>
      </c>
      <c r="C72" s="37"/>
      <c r="D72" s="56" t="s">
        <v>225</v>
      </c>
      <c r="E72" s="130" t="s">
        <v>135</v>
      </c>
      <c r="F72" s="83"/>
      <c r="G72" s="2"/>
      <c r="H72" s="130" t="s">
        <v>135</v>
      </c>
      <c r="I72" s="130" t="s">
        <v>135</v>
      </c>
      <c r="J72" s="83" t="s">
        <v>135</v>
      </c>
      <c r="K72" s="6" t="s">
        <v>135</v>
      </c>
      <c r="L72" s="110" t="s">
        <v>135</v>
      </c>
      <c r="O72" s="149">
        <f t="shared" si="52"/>
        <v>2031</v>
      </c>
      <c r="Q72" s="56" t="s">
        <v>225</v>
      </c>
      <c r="R72" s="130" t="s">
        <v>135</v>
      </c>
      <c r="S72" s="83" t="s">
        <v>135</v>
      </c>
      <c r="T72" s="83" t="s">
        <v>135</v>
      </c>
      <c r="U72" s="160" t="s">
        <v>135</v>
      </c>
      <c r="X72" s="149">
        <f t="shared" si="53"/>
        <v>2036</v>
      </c>
      <c r="Y72" s="7"/>
      <c r="Z72" s="56"/>
      <c r="AA72" s="130" t="s">
        <v>135</v>
      </c>
      <c r="AB72" s="83" t="s">
        <v>135</v>
      </c>
      <c r="AC72" s="130" t="s">
        <v>135</v>
      </c>
      <c r="AD72" s="289" t="s">
        <v>135</v>
      </c>
    </row>
    <row r="73" spans="2:30" x14ac:dyDescent="0.35">
      <c r="B73" s="149">
        <f t="shared" si="51"/>
        <v>2037</v>
      </c>
      <c r="C73" s="37"/>
      <c r="D73" s="56" t="s">
        <v>225</v>
      </c>
      <c r="E73" s="130" t="s">
        <v>135</v>
      </c>
      <c r="F73" s="83"/>
      <c r="G73" s="2"/>
      <c r="H73" s="130" t="s">
        <v>135</v>
      </c>
      <c r="I73" s="130" t="s">
        <v>135</v>
      </c>
      <c r="J73" s="83" t="s">
        <v>135</v>
      </c>
      <c r="K73" s="6" t="s">
        <v>135</v>
      </c>
      <c r="L73" s="110" t="s">
        <v>135</v>
      </c>
      <c r="O73" s="149">
        <f t="shared" si="52"/>
        <v>2032</v>
      </c>
      <c r="Q73" s="56" t="s">
        <v>225</v>
      </c>
      <c r="R73" s="130" t="s">
        <v>135</v>
      </c>
      <c r="S73" s="83" t="s">
        <v>135</v>
      </c>
      <c r="T73" s="83" t="s">
        <v>135</v>
      </c>
      <c r="U73" s="160" t="s">
        <v>135</v>
      </c>
      <c r="X73" s="149">
        <f t="shared" si="53"/>
        <v>2037</v>
      </c>
      <c r="Y73" s="37" t="s">
        <v>530</v>
      </c>
      <c r="Z73" s="56"/>
      <c r="AA73" s="130" t="s">
        <v>135</v>
      </c>
      <c r="AB73" s="83" t="s">
        <v>135</v>
      </c>
      <c r="AC73" s="130" t="s">
        <v>135</v>
      </c>
      <c r="AD73" s="289" t="s">
        <v>135</v>
      </c>
    </row>
    <row r="74" spans="2:30" x14ac:dyDescent="0.35">
      <c r="B74" s="149">
        <f t="shared" si="51"/>
        <v>2038</v>
      </c>
      <c r="C74" s="37" t="s">
        <v>530</v>
      </c>
      <c r="D74" s="56" t="s">
        <v>1024</v>
      </c>
      <c r="E74" s="130" t="s">
        <v>135</v>
      </c>
      <c r="F74" s="83"/>
      <c r="G74" s="2"/>
      <c r="H74" s="130" t="s">
        <v>135</v>
      </c>
      <c r="I74" s="130" t="s">
        <v>135</v>
      </c>
      <c r="J74" s="83" t="s">
        <v>135</v>
      </c>
      <c r="K74" s="6" t="s">
        <v>135</v>
      </c>
      <c r="L74" s="110" t="s">
        <v>135</v>
      </c>
      <c r="O74" s="149">
        <f t="shared" si="52"/>
        <v>2033</v>
      </c>
      <c r="Q74" s="56" t="s">
        <v>225</v>
      </c>
      <c r="R74" s="250" t="s">
        <v>225</v>
      </c>
      <c r="S74" s="83" t="s">
        <v>135</v>
      </c>
      <c r="T74" s="83" t="s">
        <v>135</v>
      </c>
      <c r="U74" s="160" t="s">
        <v>135</v>
      </c>
      <c r="X74" s="149">
        <f t="shared" si="53"/>
        <v>2038</v>
      </c>
      <c r="Y74" s="37" t="s">
        <v>532</v>
      </c>
      <c r="Z74" s="56"/>
      <c r="AA74" s="130" t="s">
        <v>135</v>
      </c>
      <c r="AB74" s="83" t="s">
        <v>135</v>
      </c>
      <c r="AC74" s="130" t="s">
        <v>135</v>
      </c>
      <c r="AD74" s="289" t="s">
        <v>135</v>
      </c>
    </row>
    <row r="75" spans="2:30" x14ac:dyDescent="0.35">
      <c r="B75" s="149">
        <f t="shared" si="51"/>
        <v>2039</v>
      </c>
      <c r="C75" s="37" t="s">
        <v>532</v>
      </c>
      <c r="D75" s="56" t="s">
        <v>225</v>
      </c>
      <c r="E75" s="130" t="s">
        <v>135</v>
      </c>
      <c r="F75" s="83"/>
      <c r="G75" s="2"/>
      <c r="H75" s="130" t="s">
        <v>135</v>
      </c>
      <c r="I75" s="130" t="s">
        <v>135</v>
      </c>
      <c r="J75" s="83" t="s">
        <v>135</v>
      </c>
      <c r="K75" s="6" t="s">
        <v>135</v>
      </c>
      <c r="L75" s="110" t="s">
        <v>135</v>
      </c>
      <c r="O75" s="149">
        <f t="shared" si="52"/>
        <v>2034</v>
      </c>
      <c r="Q75" s="56" t="s">
        <v>225</v>
      </c>
      <c r="R75" s="130" t="s">
        <v>135</v>
      </c>
      <c r="S75" s="83" t="s">
        <v>135</v>
      </c>
      <c r="T75" s="83" t="s">
        <v>135</v>
      </c>
      <c r="U75" s="160" t="s">
        <v>135</v>
      </c>
      <c r="X75" s="149">
        <f t="shared" si="53"/>
        <v>2039</v>
      </c>
      <c r="Y75" s="37" t="s">
        <v>539</v>
      </c>
      <c r="Z75" s="56"/>
      <c r="AA75" s="130" t="s">
        <v>135</v>
      </c>
      <c r="AB75" s="83" t="s">
        <v>135</v>
      </c>
      <c r="AC75" s="130" t="s">
        <v>135</v>
      </c>
      <c r="AD75" s="289" t="s">
        <v>135</v>
      </c>
    </row>
    <row r="76" spans="2:30" x14ac:dyDescent="0.35">
      <c r="B76" s="149">
        <f t="shared" si="51"/>
        <v>2040</v>
      </c>
      <c r="C76" s="37" t="s">
        <v>533</v>
      </c>
      <c r="D76" s="56" t="s">
        <v>225</v>
      </c>
      <c r="E76" s="130" t="s">
        <v>135</v>
      </c>
      <c r="F76" s="83"/>
      <c r="G76" s="2"/>
      <c r="H76" s="130" t="s">
        <v>135</v>
      </c>
      <c r="I76" s="130" t="s">
        <v>135</v>
      </c>
      <c r="J76" s="83" t="s">
        <v>135</v>
      </c>
      <c r="K76" s="6" t="s">
        <v>135</v>
      </c>
      <c r="L76" s="110" t="s">
        <v>135</v>
      </c>
      <c r="O76" s="517">
        <f t="shared" si="52"/>
        <v>2035</v>
      </c>
      <c r="P76" s="1"/>
      <c r="Q76" s="519" t="s">
        <v>225</v>
      </c>
      <c r="R76" s="663" t="s">
        <v>135</v>
      </c>
      <c r="S76" s="660" t="s">
        <v>135</v>
      </c>
      <c r="T76" s="660" t="s">
        <v>135</v>
      </c>
      <c r="U76" s="662" t="s">
        <v>135</v>
      </c>
      <c r="X76" s="149">
        <f t="shared" si="53"/>
        <v>2040</v>
      </c>
      <c r="Y76" s="37" t="s">
        <v>537</v>
      </c>
      <c r="Z76" s="56"/>
      <c r="AA76" s="130" t="s">
        <v>135</v>
      </c>
      <c r="AB76" s="83" t="s">
        <v>135</v>
      </c>
      <c r="AC76" s="130" t="s">
        <v>135</v>
      </c>
      <c r="AD76" s="289" t="s">
        <v>135</v>
      </c>
    </row>
    <row r="77" spans="2:30" x14ac:dyDescent="0.35">
      <c r="B77" s="149">
        <f t="shared" si="51"/>
        <v>2041</v>
      </c>
      <c r="C77" t="s">
        <v>534</v>
      </c>
      <c r="D77" s="56" t="s">
        <v>225</v>
      </c>
      <c r="E77" s="130" t="s">
        <v>135</v>
      </c>
      <c r="F77" s="83"/>
      <c r="G77" s="2"/>
      <c r="H77" s="130" t="s">
        <v>135</v>
      </c>
      <c r="I77" s="130" t="s">
        <v>135</v>
      </c>
      <c r="J77" s="83" t="s">
        <v>135</v>
      </c>
      <c r="K77" s="6" t="s">
        <v>135</v>
      </c>
      <c r="L77" s="110" t="s">
        <v>135</v>
      </c>
      <c r="O77" s="149">
        <f t="shared" si="52"/>
        <v>2036</v>
      </c>
      <c r="P77" s="37" t="s">
        <v>529</v>
      </c>
      <c r="Q77" s="56" t="s">
        <v>856</v>
      </c>
      <c r="R77" s="130" t="s">
        <v>135</v>
      </c>
      <c r="S77" s="83" t="s">
        <v>857</v>
      </c>
      <c r="T77" s="83" t="s">
        <v>135</v>
      </c>
      <c r="U77" s="160" t="s">
        <v>135</v>
      </c>
      <c r="X77" s="149">
        <f t="shared" si="53"/>
        <v>2041</v>
      </c>
      <c r="Y77" s="37" t="s">
        <v>535</v>
      </c>
      <c r="Z77" s="56"/>
      <c r="AA77" s="130" t="s">
        <v>135</v>
      </c>
      <c r="AB77" s="83" t="s">
        <v>135</v>
      </c>
      <c r="AC77" s="130" t="s">
        <v>135</v>
      </c>
      <c r="AD77" s="289" t="s">
        <v>135</v>
      </c>
    </row>
    <row r="78" spans="2:30" x14ac:dyDescent="0.35">
      <c r="B78" s="149">
        <f t="shared" si="51"/>
        <v>2042</v>
      </c>
      <c r="C78" s="37" t="s">
        <v>531</v>
      </c>
      <c r="D78" s="56" t="s">
        <v>225</v>
      </c>
      <c r="E78" s="130" t="s">
        <v>135</v>
      </c>
      <c r="F78" s="83"/>
      <c r="G78" s="2"/>
      <c r="H78" s="130" t="s">
        <v>135</v>
      </c>
      <c r="I78" s="130" t="s">
        <v>135</v>
      </c>
      <c r="J78" s="83" t="s">
        <v>135</v>
      </c>
      <c r="K78" s="6" t="s">
        <v>135</v>
      </c>
      <c r="L78" s="110" t="s">
        <v>135</v>
      </c>
      <c r="O78" s="149">
        <f t="shared" si="52"/>
        <v>2037</v>
      </c>
      <c r="P78" s="37" t="s">
        <v>523</v>
      </c>
      <c r="Q78" s="56" t="s">
        <v>225</v>
      </c>
      <c r="R78" s="130" t="s">
        <v>135</v>
      </c>
      <c r="S78" s="56" t="s">
        <v>225</v>
      </c>
      <c r="T78" s="83" t="s">
        <v>135</v>
      </c>
      <c r="U78" s="160" t="s">
        <v>135</v>
      </c>
      <c r="X78" s="149">
        <f t="shared" si="53"/>
        <v>2042</v>
      </c>
      <c r="Y78" s="37" t="s">
        <v>538</v>
      </c>
      <c r="Z78" s="56"/>
      <c r="AA78" s="130" t="s">
        <v>135</v>
      </c>
      <c r="AB78" s="83" t="s">
        <v>135</v>
      </c>
      <c r="AC78" s="130" t="s">
        <v>135</v>
      </c>
      <c r="AD78" s="289" t="s">
        <v>135</v>
      </c>
    </row>
    <row r="79" spans="2:30" x14ac:dyDescent="0.35">
      <c r="B79" s="149">
        <f t="shared" si="51"/>
        <v>2043</v>
      </c>
      <c r="C79" s="37" t="s">
        <v>535</v>
      </c>
      <c r="D79" s="56" t="s">
        <v>225</v>
      </c>
      <c r="E79" s="130" t="s">
        <v>135</v>
      </c>
      <c r="F79" s="83"/>
      <c r="G79" s="2"/>
      <c r="H79" s="130" t="s">
        <v>135</v>
      </c>
      <c r="I79" s="130" t="s">
        <v>135</v>
      </c>
      <c r="J79" s="83" t="s">
        <v>135</v>
      </c>
      <c r="K79" s="6" t="s">
        <v>135</v>
      </c>
      <c r="L79" s="110" t="s">
        <v>135</v>
      </c>
      <c r="O79" s="149">
        <f t="shared" si="52"/>
        <v>2038</v>
      </c>
      <c r="P79" s="7"/>
      <c r="Q79" s="56" t="s">
        <v>225</v>
      </c>
      <c r="R79" s="250" t="s">
        <v>225</v>
      </c>
      <c r="S79" s="56" t="s">
        <v>225</v>
      </c>
      <c r="T79" s="83" t="s">
        <v>135</v>
      </c>
      <c r="U79" s="160" t="s">
        <v>135</v>
      </c>
      <c r="X79" s="149">
        <f t="shared" si="53"/>
        <v>2043</v>
      </c>
      <c r="Y79" s="7"/>
      <c r="Z79" s="56"/>
      <c r="AA79" s="130" t="s">
        <v>135</v>
      </c>
      <c r="AB79" s="83" t="s">
        <v>135</v>
      </c>
      <c r="AC79" s="130" t="s">
        <v>135</v>
      </c>
      <c r="AD79" s="289" t="s">
        <v>135</v>
      </c>
    </row>
    <row r="80" spans="2:30" x14ac:dyDescent="0.35">
      <c r="B80" s="149">
        <f t="shared" si="51"/>
        <v>2044</v>
      </c>
      <c r="C80" s="37" t="s">
        <v>536</v>
      </c>
      <c r="D80" s="56" t="s">
        <v>225</v>
      </c>
      <c r="E80" s="130" t="s">
        <v>135</v>
      </c>
      <c r="F80" s="83"/>
      <c r="G80" s="2"/>
      <c r="H80" s="130" t="s">
        <v>135</v>
      </c>
      <c r="I80" s="130" t="s">
        <v>135</v>
      </c>
      <c r="J80" s="83" t="s">
        <v>135</v>
      </c>
      <c r="K80" s="6" t="s">
        <v>135</v>
      </c>
      <c r="L80" s="110" t="s">
        <v>135</v>
      </c>
      <c r="O80" s="149">
        <f t="shared" si="52"/>
        <v>2039</v>
      </c>
      <c r="P80" s="7"/>
      <c r="Q80" s="56" t="s">
        <v>225</v>
      </c>
      <c r="R80" s="130" t="s">
        <v>135</v>
      </c>
      <c r="S80" s="56" t="s">
        <v>225</v>
      </c>
      <c r="T80" s="83" t="s">
        <v>135</v>
      </c>
      <c r="U80" s="160" t="s">
        <v>135</v>
      </c>
      <c r="X80" s="149">
        <f t="shared" si="53"/>
        <v>2044</v>
      </c>
      <c r="Y80" s="7"/>
      <c r="Z80" s="56"/>
      <c r="AA80" s="130" t="s">
        <v>135</v>
      </c>
      <c r="AB80" s="83" t="s">
        <v>135</v>
      </c>
      <c r="AC80" s="130" t="s">
        <v>135</v>
      </c>
      <c r="AD80" s="289" t="s">
        <v>135</v>
      </c>
    </row>
    <row r="81" spans="1:32" ht="15" thickBot="1" x14ac:dyDescent="0.4">
      <c r="B81" s="267">
        <f t="shared" si="51"/>
        <v>2045</v>
      </c>
      <c r="C81" s="164" t="s">
        <v>546</v>
      </c>
      <c r="D81" s="163" t="s">
        <v>225</v>
      </c>
      <c r="E81" s="251" t="s">
        <v>135</v>
      </c>
      <c r="F81" s="150"/>
      <c r="G81" s="134"/>
      <c r="H81" s="251" t="s">
        <v>135</v>
      </c>
      <c r="I81" s="251" t="s">
        <v>135</v>
      </c>
      <c r="J81" s="150" t="s">
        <v>135</v>
      </c>
      <c r="K81" s="362" t="s">
        <v>135</v>
      </c>
      <c r="L81" s="165" t="s">
        <v>135</v>
      </c>
      <c r="O81" s="149">
        <f t="shared" si="52"/>
        <v>2040</v>
      </c>
      <c r="P81" s="37" t="s">
        <v>530</v>
      </c>
      <c r="Q81" s="56" t="s">
        <v>856</v>
      </c>
      <c r="R81" s="130" t="s">
        <v>135</v>
      </c>
      <c r="S81" s="56" t="s">
        <v>225</v>
      </c>
      <c r="T81" s="83" t="s">
        <v>135</v>
      </c>
      <c r="U81" s="160" t="s">
        <v>135</v>
      </c>
      <c r="X81" s="267">
        <f t="shared" si="53"/>
        <v>2045</v>
      </c>
      <c r="Y81" s="167"/>
      <c r="Z81" s="163"/>
      <c r="AA81" s="251" t="s">
        <v>135</v>
      </c>
      <c r="AB81" s="150" t="s">
        <v>135</v>
      </c>
      <c r="AC81" s="251" t="s">
        <v>135</v>
      </c>
      <c r="AD81" s="290" t="s">
        <v>135</v>
      </c>
    </row>
    <row r="82" spans="1:32" ht="15" thickTop="1" x14ac:dyDescent="0.35">
      <c r="B82" s="44" t="s">
        <v>190</v>
      </c>
      <c r="O82" s="149">
        <f t="shared" si="52"/>
        <v>2041</v>
      </c>
      <c r="P82" s="37" t="s">
        <v>532</v>
      </c>
      <c r="Q82" s="56" t="s">
        <v>225</v>
      </c>
      <c r="R82" s="130" t="s">
        <v>135</v>
      </c>
      <c r="S82" s="56" t="s">
        <v>225</v>
      </c>
      <c r="T82" s="83" t="s">
        <v>135</v>
      </c>
      <c r="U82" s="160" t="s">
        <v>135</v>
      </c>
      <c r="X82" s="44" t="s">
        <v>190</v>
      </c>
    </row>
    <row r="83" spans="1:32" x14ac:dyDescent="0.35">
      <c r="O83" s="149">
        <f t="shared" si="52"/>
        <v>2042</v>
      </c>
      <c r="P83" s="37" t="s">
        <v>539</v>
      </c>
      <c r="Q83" s="56" t="s">
        <v>225</v>
      </c>
      <c r="R83" s="130" t="s">
        <v>135</v>
      </c>
      <c r="S83" s="56" t="s">
        <v>225</v>
      </c>
      <c r="T83" s="83" t="s">
        <v>135</v>
      </c>
      <c r="U83" s="160" t="s">
        <v>135</v>
      </c>
    </row>
    <row r="84" spans="1:32" s="8" customFormat="1" x14ac:dyDescent="0.35">
      <c r="B84"/>
      <c r="D84"/>
      <c r="F84"/>
      <c r="G84"/>
      <c r="H84"/>
      <c r="I84"/>
      <c r="J84"/>
      <c r="O84" s="149">
        <f t="shared" si="52"/>
        <v>2043</v>
      </c>
      <c r="P84" s="37" t="s">
        <v>537</v>
      </c>
      <c r="Q84" s="56" t="s">
        <v>225</v>
      </c>
      <c r="R84" s="250" t="s">
        <v>225</v>
      </c>
      <c r="S84" s="56" t="s">
        <v>225</v>
      </c>
      <c r="T84" s="83" t="s">
        <v>135</v>
      </c>
      <c r="U84" s="160" t="s">
        <v>135</v>
      </c>
    </row>
    <row r="85" spans="1:32" x14ac:dyDescent="0.35">
      <c r="E85" s="8"/>
      <c r="M85" s="8"/>
      <c r="N85" s="8"/>
      <c r="O85" s="149">
        <f t="shared" si="52"/>
        <v>2044</v>
      </c>
      <c r="P85" s="37" t="s">
        <v>535</v>
      </c>
      <c r="Q85" s="56" t="s">
        <v>225</v>
      </c>
      <c r="R85" s="130" t="s">
        <v>135</v>
      </c>
      <c r="S85" s="56" t="s">
        <v>225</v>
      </c>
      <c r="T85" s="83" t="s">
        <v>135</v>
      </c>
      <c r="U85" s="160" t="s">
        <v>135</v>
      </c>
      <c r="V85" s="86"/>
      <c r="W85" s="86"/>
    </row>
    <row r="86" spans="1:32" ht="15" thickBot="1" x14ac:dyDescent="0.4">
      <c r="O86" s="267">
        <f t="shared" si="52"/>
        <v>2045</v>
      </c>
      <c r="P86" s="164" t="s">
        <v>538</v>
      </c>
      <c r="Q86" s="163" t="s">
        <v>225</v>
      </c>
      <c r="R86" s="251" t="s">
        <v>135</v>
      </c>
      <c r="S86" s="163" t="s">
        <v>225</v>
      </c>
      <c r="T86" s="150" t="s">
        <v>135</v>
      </c>
      <c r="U86" s="166" t="s">
        <v>135</v>
      </c>
    </row>
    <row r="87" spans="1:32" ht="15" thickTop="1" x14ac:dyDescent="0.35">
      <c r="O87" s="44" t="s">
        <v>190</v>
      </c>
    </row>
    <row r="88" spans="1:32" x14ac:dyDescent="0.35">
      <c r="O88" s="44"/>
    </row>
    <row r="89" spans="1:32" ht="21" x14ac:dyDescent="0.5">
      <c r="A89" s="16" t="s">
        <v>296</v>
      </c>
      <c r="C89" s="8" t="s">
        <v>307</v>
      </c>
      <c r="O89" s="8" t="s">
        <v>307</v>
      </c>
      <c r="P89" s="8"/>
      <c r="Q89" s="8"/>
      <c r="S89" s="8"/>
      <c r="T89" s="8"/>
      <c r="U89" s="8"/>
      <c r="X89" s="8" t="s">
        <v>307</v>
      </c>
      <c r="Y89" s="8"/>
      <c r="Z89" s="8"/>
      <c r="AA89" s="8"/>
      <c r="AB89" s="8"/>
      <c r="AC89" s="8"/>
      <c r="AD89" s="8"/>
      <c r="AE89" s="8"/>
    </row>
    <row r="90" spans="1:32" x14ac:dyDescent="0.35">
      <c r="A90" t="s">
        <v>212</v>
      </c>
      <c r="B90" s="8"/>
      <c r="C90" s="79" t="s">
        <v>220</v>
      </c>
      <c r="D90" s="8"/>
      <c r="F90" s="8"/>
      <c r="G90" s="8"/>
      <c r="H90" s="8"/>
      <c r="I90" s="8"/>
      <c r="J90" s="8"/>
      <c r="K90" s="8"/>
      <c r="L90" s="8"/>
      <c r="O90" s="14" t="s">
        <v>217</v>
      </c>
      <c r="Q90" s="14"/>
      <c r="U90" s="86"/>
      <c r="X90" s="14" t="s">
        <v>217</v>
      </c>
      <c r="Z90" s="14"/>
    </row>
    <row r="91" spans="1:32" x14ac:dyDescent="0.35">
      <c r="A91" s="14" t="s">
        <v>214</v>
      </c>
      <c r="C91" s="14" t="s">
        <v>372</v>
      </c>
      <c r="O91" t="s">
        <v>525</v>
      </c>
      <c r="X91" s="1" t="s">
        <v>286</v>
      </c>
      <c r="Y91" s="1"/>
      <c r="Z91" s="1"/>
      <c r="AA91" s="1"/>
      <c r="AB91" s="1"/>
      <c r="AC91" s="1"/>
      <c r="AD91" s="1"/>
      <c r="AE91" s="1"/>
    </row>
    <row r="92" spans="1:32" x14ac:dyDescent="0.35">
      <c r="A92" s="14" t="s">
        <v>213</v>
      </c>
      <c r="C92" s="14" t="s">
        <v>92</v>
      </c>
      <c r="O92" t="s">
        <v>526</v>
      </c>
      <c r="X92" t="s">
        <v>308</v>
      </c>
      <c r="AA92" s="14" t="s">
        <v>309</v>
      </c>
      <c r="AF92" s="8"/>
    </row>
    <row r="93" spans="1:32" x14ac:dyDescent="0.35">
      <c r="A93" s="14" t="s">
        <v>215</v>
      </c>
      <c r="C93" s="1" t="s">
        <v>5</v>
      </c>
      <c r="E93" s="1"/>
      <c r="K93" t="s">
        <v>45</v>
      </c>
      <c r="O93" t="s">
        <v>314</v>
      </c>
      <c r="P93" s="14" t="s">
        <v>313</v>
      </c>
      <c r="X93" t="s">
        <v>524</v>
      </c>
    </row>
    <row r="94" spans="1:32" x14ac:dyDescent="0.35">
      <c r="A94" s="14" t="s">
        <v>227</v>
      </c>
      <c r="C94" t="s">
        <v>1</v>
      </c>
      <c r="E94" t="s">
        <v>0</v>
      </c>
      <c r="O94" s="1" t="s">
        <v>276</v>
      </c>
      <c r="P94" s="1"/>
      <c r="Q94" s="1"/>
      <c r="S94" s="1"/>
      <c r="X94" t="s">
        <v>526</v>
      </c>
      <c r="AF94" s="1"/>
    </row>
    <row r="95" spans="1:32" x14ac:dyDescent="0.35">
      <c r="C95" s="3" t="str">
        <f>D8</f>
        <v>-</v>
      </c>
      <c r="E95" s="2" t="e">
        <f>E6*(1+D8)^(B7-B6)</f>
        <v>#VALUE!</v>
      </c>
      <c r="O95" s="3" t="s">
        <v>1</v>
      </c>
      <c r="P95" t="s">
        <v>0</v>
      </c>
      <c r="Q95" s="3"/>
      <c r="X95" t="s">
        <v>315</v>
      </c>
      <c r="AA95" s="14" t="s">
        <v>313</v>
      </c>
    </row>
    <row r="96" spans="1:32" x14ac:dyDescent="0.35">
      <c r="C96" s="3" t="s">
        <v>2</v>
      </c>
      <c r="E96" t="s">
        <v>4</v>
      </c>
      <c r="O96" s="3" t="str">
        <f>Q8</f>
        <v>-</v>
      </c>
      <c r="P96" s="2" t="e">
        <f>R6*(1+Q8)^(O7-O6)</f>
        <v>#VALUE!</v>
      </c>
      <c r="Q96" s="3"/>
      <c r="X96" s="1" t="s">
        <v>275</v>
      </c>
      <c r="Y96" s="1"/>
      <c r="Z96" s="1"/>
      <c r="AA96" s="1"/>
      <c r="AB96" s="1"/>
    </row>
    <row r="97" spans="3:28" x14ac:dyDescent="0.35">
      <c r="C97" s="5" t="e">
        <f>1*(1+D8)^E97</f>
        <v>#VALUE!</v>
      </c>
      <c r="E97">
        <v>2</v>
      </c>
      <c r="O97" s="3" t="s">
        <v>2</v>
      </c>
      <c r="P97" t="s">
        <v>4</v>
      </c>
      <c r="Q97" s="3"/>
      <c r="X97" s="3" t="s">
        <v>1</v>
      </c>
      <c r="Y97" t="s">
        <v>0</v>
      </c>
      <c r="Z97" s="3"/>
    </row>
    <row r="98" spans="3:28" x14ac:dyDescent="0.35">
      <c r="C98" s="3" t="s">
        <v>3</v>
      </c>
      <c r="E98" t="s">
        <v>4</v>
      </c>
      <c r="K98" s="2"/>
      <c r="L98" s="2"/>
      <c r="O98" s="5" t="e">
        <f>1*(1+O96)^P98</f>
        <v>#VALUE!</v>
      </c>
      <c r="P98">
        <v>2</v>
      </c>
      <c r="Q98" s="5"/>
      <c r="X98" s="3">
        <f>AA8</f>
        <v>0.47561182710948535</v>
      </c>
      <c r="Y98" s="2">
        <f>AA6*(1+AA8)^(X7-X6)</f>
        <v>5332999999999.9951</v>
      </c>
      <c r="Z98" s="3"/>
      <c r="AB98" s="2"/>
    </row>
    <row r="99" spans="3:28" x14ac:dyDescent="0.35">
      <c r="C99" s="3" t="e">
        <f>1*(1+D8)^E99</f>
        <v>#VALUE!</v>
      </c>
      <c r="E99">
        <v>10</v>
      </c>
      <c r="O99" s="3" t="s">
        <v>3</v>
      </c>
      <c r="P99" t="s">
        <v>4</v>
      </c>
      <c r="Q99" s="3"/>
      <c r="X99" s="3" t="s">
        <v>2</v>
      </c>
      <c r="Y99" t="s">
        <v>4</v>
      </c>
      <c r="Z99" s="3"/>
    </row>
    <row r="100" spans="3:28" x14ac:dyDescent="0.35">
      <c r="C100" s="3" t="s">
        <v>6</v>
      </c>
      <c r="E100" t="s">
        <v>4</v>
      </c>
      <c r="O100" s="3" t="e">
        <f>1*(1+O96)^P100</f>
        <v>#VALUE!</v>
      </c>
      <c r="P100">
        <v>10</v>
      </c>
      <c r="Q100" s="3"/>
      <c r="X100" s="5">
        <f>1*(1+X98)^Y100</f>
        <v>2.1774302643053938</v>
      </c>
      <c r="Y100">
        <v>2</v>
      </c>
      <c r="Z100" s="5"/>
    </row>
    <row r="101" spans="3:28" x14ac:dyDescent="0.35">
      <c r="C101" s="3" t="e">
        <f>1*(1+D8)^E101</f>
        <v>#VALUE!</v>
      </c>
      <c r="E101">
        <v>20</v>
      </c>
      <c r="O101" s="3" t="s">
        <v>6</v>
      </c>
      <c r="P101" t="s">
        <v>4</v>
      </c>
      <c r="Q101" s="3"/>
      <c r="X101" s="3" t="s">
        <v>3</v>
      </c>
      <c r="Y101" t="s">
        <v>4</v>
      </c>
      <c r="Z101" s="3"/>
    </row>
    <row r="102" spans="3:28" x14ac:dyDescent="0.35">
      <c r="O102" s="3" t="e">
        <f>1*(1+O96)^P102</f>
        <v>#VALUE!</v>
      </c>
      <c r="P102">
        <v>20</v>
      </c>
      <c r="Q102" s="3"/>
      <c r="X102" s="3">
        <f>1*(1+X98)^Y102</f>
        <v>48.94645856112195</v>
      </c>
      <c r="Y102">
        <v>10</v>
      </c>
      <c r="Z102" s="3"/>
    </row>
    <row r="103" spans="3:28" x14ac:dyDescent="0.35">
      <c r="X103" s="3" t="s">
        <v>6</v>
      </c>
      <c r="Y103" t="s">
        <v>4</v>
      </c>
      <c r="Z103" s="3"/>
    </row>
    <row r="104" spans="3:28" x14ac:dyDescent="0.35">
      <c r="O104" s="3"/>
      <c r="Q104" s="3"/>
      <c r="X104" s="3">
        <f>1*(1+X98)^Y104</f>
        <v>2395.7558056756284</v>
      </c>
      <c r="Y104">
        <v>20</v>
      </c>
      <c r="Z104" s="3"/>
    </row>
    <row r="107" spans="3:28" x14ac:dyDescent="0.35">
      <c r="X107" s="3"/>
      <c r="Z107" s="3"/>
    </row>
    <row r="111" spans="3:28" x14ac:dyDescent="0.35">
      <c r="H111" s="89"/>
    </row>
  </sheetData>
  <phoneticPr fontId="4" type="noConversion"/>
  <hyperlinks>
    <hyperlink ref="A92" r:id="rId1" location="/" xr:uid="{BE75D179-76C9-4D10-B9CE-5B334C9BC121}"/>
    <hyperlink ref="A93" r:id="rId2" location="/media/File:Moore's_Law_Transistor_Count_1970-2020.png" xr:uid="{4014C731-4C44-4AFC-855E-EF39C65DEC96}"/>
    <hyperlink ref="A91" r:id="rId3" xr:uid="{3F989A24-260E-4D97-9680-362ED7DC1C94}"/>
    <hyperlink ref="X90" r:id="rId4" location="Memory" xr:uid="{2CCE74D7-D085-4D9D-9C9C-17FC46712EAE}"/>
    <hyperlink ref="C90" r:id="rId5" location="Microprocessors" xr:uid="{705C685C-C067-492F-9744-DFEF5971F0B1}"/>
    <hyperlink ref="O90" r:id="rId6" location="Memory" xr:uid="{BB73B9CA-CCB2-4548-A3A6-E7588EDF059D}"/>
    <hyperlink ref="A94" r:id="rId7" xr:uid="{36615431-42A4-436A-B408-5A59A55BA4F8}"/>
    <hyperlink ref="AA92" r:id="rId8" xr:uid="{5EC577BD-FDCD-4CD0-90B1-AA9AE6FB52F0}"/>
    <hyperlink ref="P93" r:id="rId9" xr:uid="{62AFF6F1-F1DB-4989-8A54-403E99E609CC}"/>
    <hyperlink ref="AA95" r:id="rId10" xr:uid="{B58841DA-288A-4493-9101-F6EA30D24F1C}"/>
    <hyperlink ref="C91" r:id="rId11" location="GPUs" xr:uid="{F1C177CF-719D-4DC4-9DA4-D56D938680F8}"/>
    <hyperlink ref="C92" r:id="rId12" xr:uid="{64926ABA-0FA5-42AE-85F1-DDC5E3876133}"/>
    <hyperlink ref="E54" r:id="rId13" xr:uid="{9BE6EB75-23FC-486C-9738-44182DAC3284}"/>
    <hyperlink ref="G53" r:id="rId14" location="Microprocessors" xr:uid="{567C0E22-5093-4002-B255-8918BE99511E}"/>
    <hyperlink ref="E53" r:id="rId15" location="Microprocessors" xr:uid="{A5F56F80-FC62-4B1B-97EA-DA8C932EEEC6}"/>
    <hyperlink ref="S54" r:id="rId16" location="Memory" xr:uid="{11FDE1F4-D6DD-4C81-B5AA-6DF5E1F4BE04}"/>
    <hyperlink ref="S53" r:id="rId17" location="Memory" xr:uid="{8570F08C-336C-4662-B4BB-7DCB7984A5A8}"/>
    <hyperlink ref="T53" r:id="rId18" location="Memory" xr:uid="{29F071BA-FB46-4656-A694-0394AB41F969}"/>
    <hyperlink ref="T54" r:id="rId19" location="Memory" xr:uid="{76B15201-FA41-472D-8FD5-EA87E717CE0A}"/>
    <hyperlink ref="R54" r:id="rId20" location="Memory" xr:uid="{C3A167C4-1BD8-40EE-B2BF-5E4EC31D54BB}"/>
    <hyperlink ref="R53" r:id="rId21" location="Memory" xr:uid="{73ABEED7-71FD-40BF-AE10-9FCAA518AD6A}"/>
    <hyperlink ref="AA54" r:id="rId22" location="Memory" xr:uid="{68599690-08A0-4788-AB9D-7FF88F2D7D78}"/>
    <hyperlink ref="AA53" r:id="rId23" location="Memory" xr:uid="{93F9B05A-3333-4BFF-A335-F27E243F0469}"/>
    <hyperlink ref="AB53" r:id="rId24" location="Memory" xr:uid="{53E14CB7-A23D-4268-9F1C-11E46C1CE159}"/>
  </hyperlinks>
  <pageMargins left="0.7" right="0.7" top="0.75" bottom="0.75" header="0.3" footer="0.3"/>
  <pageSetup orientation="portrait" verticalDpi="0"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6"/>
  <sheetViews>
    <sheetView workbookViewId="0">
      <pane xSplit="2" ySplit="10" topLeftCell="C11" activePane="bottomRight" state="frozen"/>
      <selection pane="topRight" activeCell="C1" sqref="C1"/>
      <selection pane="bottomLeft" activeCell="A12" sqref="A12"/>
      <selection pane="bottomRight" activeCell="L25" sqref="L25"/>
    </sheetView>
  </sheetViews>
  <sheetFormatPr defaultRowHeight="14.5" x14ac:dyDescent="0.35"/>
  <cols>
    <col min="1" max="1" width="13" customWidth="1"/>
    <col min="2" max="2" width="12.36328125" customWidth="1"/>
    <col min="3" max="3" width="10.81640625" customWidth="1"/>
    <col min="4" max="4" width="35.26953125" customWidth="1"/>
    <col min="5" max="5" width="14.1796875" customWidth="1"/>
    <col min="6" max="6" width="10.7265625" customWidth="1"/>
    <col min="7" max="7" width="13.54296875" customWidth="1"/>
    <col min="8" max="8" width="22.36328125" customWidth="1"/>
    <col min="9" max="9" width="15.54296875" customWidth="1"/>
    <col min="12" max="12" width="29.08984375" customWidth="1"/>
    <col min="13" max="13" width="18.81640625" customWidth="1"/>
  </cols>
  <sheetData>
    <row r="1" spans="1:20" ht="28.5" x14ac:dyDescent="0.65">
      <c r="A1" s="9" t="str">
        <f>AI_Models!A1</f>
        <v>Path towards AGI &amp; artificial humans - How close are AIs and robotics from being able to do any work that humans can do? #74/101</v>
      </c>
    </row>
    <row r="2" spans="1:20" ht="15.5" x14ac:dyDescent="0.35">
      <c r="A2" s="10" t="s">
        <v>11</v>
      </c>
    </row>
    <row r="3" spans="1:20" ht="15.5" x14ac:dyDescent="0.35">
      <c r="A3" s="414" t="str">
        <f>AI_Models!A3</f>
        <v>Links to all sources are available in sources table below</v>
      </c>
      <c r="B3" s="415"/>
      <c r="C3" s="415"/>
      <c r="D3" s="415"/>
      <c r="E3" s="415"/>
      <c r="F3" s="415"/>
    </row>
    <row r="4" spans="1:20" ht="23.5" x14ac:dyDescent="0.55000000000000004">
      <c r="A4" s="17" t="s">
        <v>1026</v>
      </c>
    </row>
    <row r="5" spans="1:20" x14ac:dyDescent="0.35">
      <c r="T5" s="6"/>
    </row>
    <row r="6" spans="1:20" s="16" customFormat="1" ht="21.5" thickBot="1" x14ac:dyDescent="0.55000000000000004">
      <c r="B6" s="239" t="s">
        <v>1027</v>
      </c>
      <c r="C6" s="240"/>
      <c r="D6" s="240"/>
      <c r="F6" s="239" t="s">
        <v>1028</v>
      </c>
      <c r="G6" s="240"/>
      <c r="H6" s="240"/>
      <c r="J6" s="239" t="s">
        <v>1029</v>
      </c>
      <c r="K6" s="240"/>
      <c r="L6" s="240"/>
      <c r="T6" s="241"/>
    </row>
    <row r="7" spans="1:20" ht="15" thickTop="1" x14ac:dyDescent="0.35">
      <c r="B7" s="60" t="s">
        <v>7</v>
      </c>
      <c r="C7" s="61" t="s">
        <v>10</v>
      </c>
      <c r="D7" s="62" t="s">
        <v>13</v>
      </c>
      <c r="F7" s="60" t="s">
        <v>7</v>
      </c>
      <c r="G7" s="61" t="s">
        <v>10</v>
      </c>
      <c r="H7" s="62" t="s">
        <v>13</v>
      </c>
      <c r="J7" s="76" t="s">
        <v>7</v>
      </c>
      <c r="K7" s="77" t="s">
        <v>10</v>
      </c>
      <c r="L7" s="78" t="s">
        <v>13</v>
      </c>
      <c r="T7" s="6"/>
    </row>
    <row r="8" spans="1:20" x14ac:dyDescent="0.35">
      <c r="B8" s="63">
        <v>1972</v>
      </c>
      <c r="C8" s="64">
        <v>10000</v>
      </c>
      <c r="D8" s="65" t="s">
        <v>218</v>
      </c>
      <c r="F8" s="63">
        <v>1970</v>
      </c>
      <c r="G8" s="64">
        <v>8000</v>
      </c>
      <c r="H8" s="65" t="s">
        <v>223</v>
      </c>
      <c r="J8" s="71">
        <v>1994</v>
      </c>
      <c r="K8" s="72">
        <v>400</v>
      </c>
      <c r="L8" s="73" t="s">
        <v>284</v>
      </c>
      <c r="T8" s="6"/>
    </row>
    <row r="9" spans="1:20" x14ac:dyDescent="0.35">
      <c r="B9" s="63">
        <v>2022</v>
      </c>
      <c r="C9" s="243">
        <v>4</v>
      </c>
      <c r="D9" s="65" t="s">
        <v>219</v>
      </c>
      <c r="F9" s="63">
        <v>2018</v>
      </c>
      <c r="G9" s="64">
        <v>10</v>
      </c>
      <c r="H9" s="65" t="s">
        <v>224</v>
      </c>
      <c r="J9" s="71">
        <v>2010</v>
      </c>
      <c r="K9" s="72">
        <v>32</v>
      </c>
      <c r="L9" s="73" t="s">
        <v>287</v>
      </c>
      <c r="T9" s="6"/>
    </row>
    <row r="10" spans="1:20" ht="15" thickBot="1" x14ac:dyDescent="0.4">
      <c r="B10" s="66" t="s">
        <v>256</v>
      </c>
      <c r="C10" s="67"/>
      <c r="D10" s="70">
        <f>((C9/C8)^(1/(B9-B8)))-1</f>
        <v>-0.14485216641775234</v>
      </c>
      <c r="F10" s="66" t="s">
        <v>256</v>
      </c>
      <c r="G10" s="67"/>
      <c r="H10" s="70">
        <f>((G9/G8)^(1/(F9-F8)))-1</f>
        <v>-0.13000058898363009</v>
      </c>
      <c r="J10" s="66" t="s">
        <v>256</v>
      </c>
      <c r="K10" s="75"/>
      <c r="L10" s="70">
        <f>((K9/K8)^(1/(J9-J8)))-1</f>
        <v>-0.14602899714234385</v>
      </c>
      <c r="T10" s="6"/>
    </row>
    <row r="11" spans="1:20" ht="15" thickTop="1" x14ac:dyDescent="0.35">
      <c r="B11" s="52">
        <v>2022</v>
      </c>
      <c r="C11" s="6">
        <f>C9</f>
        <v>4</v>
      </c>
      <c r="D11" s="58"/>
      <c r="F11" s="52">
        <f>F9</f>
        <v>2018</v>
      </c>
      <c r="G11" s="6">
        <f>G9</f>
        <v>10</v>
      </c>
      <c r="H11" s="53"/>
      <c r="J11" s="52">
        <f>J9</f>
        <v>2010</v>
      </c>
      <c r="K11" s="6">
        <f>K9</f>
        <v>32</v>
      </c>
      <c r="L11" s="53"/>
      <c r="T11" s="6"/>
    </row>
    <row r="12" spans="1:20" x14ac:dyDescent="0.35">
      <c r="B12" s="52">
        <v>2023</v>
      </c>
      <c r="C12" s="6">
        <f>C11*(1+D$10)</f>
        <v>3.4205913343289907</v>
      </c>
      <c r="D12" s="53"/>
      <c r="F12" s="52">
        <v>2019</v>
      </c>
      <c r="G12" s="6">
        <f>G11*(1+H$10)</f>
        <v>8.6999941101636988</v>
      </c>
      <c r="H12" s="53"/>
      <c r="J12" s="52">
        <v>2011</v>
      </c>
      <c r="K12" s="6">
        <f>K11*(1+L$10)</f>
        <v>27.327072091444997</v>
      </c>
      <c r="L12" s="53"/>
      <c r="T12" s="6"/>
    </row>
    <row r="13" spans="1:20" x14ac:dyDescent="0.35">
      <c r="B13" s="52">
        <v>2024</v>
      </c>
      <c r="C13" s="6">
        <f t="shared" ref="C13:C20" si="0">C12*(1+D$10)</f>
        <v>2.9251112691216461</v>
      </c>
      <c r="D13" s="53"/>
      <c r="F13" s="52">
        <v>2020</v>
      </c>
      <c r="G13" s="6">
        <f t="shared" ref="G13:G27" si="1">G12*(1+H$10)</f>
        <v>7.5689897516883056</v>
      </c>
      <c r="H13" s="53"/>
      <c r="J13" s="52">
        <v>2012</v>
      </c>
      <c r="K13" s="6">
        <f t="shared" ref="K13:K32" si="2">K12*(1+L$10)</f>
        <v>23.33652715909475</v>
      </c>
      <c r="L13" s="53"/>
      <c r="T13" s="6"/>
    </row>
    <row r="14" spans="1:20" x14ac:dyDescent="0.35">
      <c r="B14" s="52">
        <v>2025</v>
      </c>
      <c r="C14" s="6">
        <f t="shared" si="0"/>
        <v>2.5014025647763947</v>
      </c>
      <c r="D14" s="53"/>
      <c r="F14" s="52">
        <v>2021</v>
      </c>
      <c r="G14" s="6">
        <f t="shared" si="1"/>
        <v>6.585016625957766</v>
      </c>
      <c r="H14" s="53"/>
      <c r="J14" s="52">
        <v>2013</v>
      </c>
      <c r="K14" s="6">
        <f t="shared" si="2"/>
        <v>19.928717501267073</v>
      </c>
      <c r="L14" s="53"/>
      <c r="T14" s="6"/>
    </row>
    <row r="15" spans="1:20" x14ac:dyDescent="0.35">
      <c r="B15" s="52">
        <v>2026</v>
      </c>
      <c r="C15" s="6">
        <f t="shared" si="0"/>
        <v>2.1390689841856116</v>
      </c>
      <c r="D15" s="53"/>
      <c r="F15" s="52">
        <v>2022</v>
      </c>
      <c r="G15" s="6">
        <f t="shared" si="1"/>
        <v>5.7289605861162602</v>
      </c>
      <c r="H15" s="53"/>
      <c r="J15" s="52">
        <v>2014</v>
      </c>
      <c r="K15" s="6">
        <f t="shared" si="2"/>
        <v>17.018546870223965</v>
      </c>
      <c r="L15" s="53"/>
      <c r="T15" s="6"/>
    </row>
    <row r="16" spans="1:20" x14ac:dyDescent="0.35">
      <c r="B16" s="52">
        <v>2027</v>
      </c>
      <c r="C16" s="6">
        <f t="shared" si="0"/>
        <v>1.8292202077093049</v>
      </c>
      <c r="D16" s="53"/>
      <c r="F16" s="52">
        <v>2023</v>
      </c>
      <c r="G16" s="6">
        <f t="shared" si="1"/>
        <v>4.984192335657144</v>
      </c>
      <c r="H16" s="53"/>
      <c r="J16" s="52">
        <v>2015</v>
      </c>
      <c r="K16" s="6">
        <f t="shared" si="2"/>
        <v>14.533345537945184</v>
      </c>
      <c r="L16" s="53"/>
      <c r="T16" s="6"/>
    </row>
    <row r="17" spans="2:20" x14ac:dyDescent="0.35">
      <c r="B17" s="52">
        <v>2028</v>
      </c>
      <c r="C17" s="6">
        <f t="shared" si="0"/>
        <v>1.5642536977674812</v>
      </c>
      <c r="D17" s="53"/>
      <c r="F17" s="52">
        <v>2024</v>
      </c>
      <c r="G17" s="6">
        <f t="shared" si="1"/>
        <v>4.3362443964140205</v>
      </c>
      <c r="H17" s="53"/>
      <c r="J17" s="52">
        <v>2016</v>
      </c>
      <c r="K17" s="6">
        <f t="shared" si="2"/>
        <v>12.41105566391589</v>
      </c>
      <c r="L17" s="53"/>
      <c r="T17" s="6"/>
    </row>
    <row r="18" spans="2:20" x14ac:dyDescent="0.35">
      <c r="B18" s="522">
        <v>2029</v>
      </c>
      <c r="C18" s="231">
        <f t="shared" si="0"/>
        <v>1.3376681608188816</v>
      </c>
      <c r="D18" s="738"/>
      <c r="F18" s="52">
        <v>2025</v>
      </c>
      <c r="G18" s="6">
        <f t="shared" si="1"/>
        <v>3.7725300709032323</v>
      </c>
      <c r="H18" s="53"/>
      <c r="J18" s="52">
        <v>2017</v>
      </c>
      <c r="K18" s="6">
        <f t="shared" si="2"/>
        <v>10.598681651836447</v>
      </c>
      <c r="L18" s="53"/>
    </row>
    <row r="19" spans="2:20" x14ac:dyDescent="0.35">
      <c r="B19" s="52">
        <v>2030</v>
      </c>
      <c r="C19" s="6">
        <f t="shared" si="0"/>
        <v>1.1439040297762162</v>
      </c>
      <c r="D19" s="53"/>
      <c r="F19" s="52">
        <v>2026</v>
      </c>
      <c r="G19" s="6">
        <f>G18*(1+H$10)</f>
        <v>3.2820989397273563</v>
      </c>
      <c r="H19" s="53"/>
      <c r="J19" s="52">
        <v>2018</v>
      </c>
      <c r="K19" s="6">
        <f t="shared" si="2"/>
        <v>9.05096679918781</v>
      </c>
      <c r="L19" s="53"/>
    </row>
    <row r="20" spans="2:20" x14ac:dyDescent="0.35">
      <c r="B20" s="52">
        <v>2031</v>
      </c>
      <c r="C20" s="6">
        <f t="shared" si="0"/>
        <v>0.97820705288913423</v>
      </c>
      <c r="D20" s="59" t="s">
        <v>1025</v>
      </c>
      <c r="F20" s="52">
        <v>2027</v>
      </c>
      <c r="G20" s="6">
        <f t="shared" si="1"/>
        <v>2.8554241444602519</v>
      </c>
      <c r="H20" s="53"/>
      <c r="J20" s="52">
        <v>2019</v>
      </c>
      <c r="K20" s="6">
        <f t="shared" si="2"/>
        <v>7.7292631943337646</v>
      </c>
      <c r="L20" s="53"/>
    </row>
    <row r="21" spans="2:20" ht="15" thickBot="1" x14ac:dyDescent="0.4">
      <c r="B21" s="54">
        <v>2032</v>
      </c>
      <c r="C21" s="55">
        <v>1</v>
      </c>
      <c r="D21" s="68" t="s">
        <v>257</v>
      </c>
      <c r="F21" s="52">
        <v>2028</v>
      </c>
      <c r="G21" s="6">
        <f t="shared" si="1"/>
        <v>2.4842173238823411</v>
      </c>
      <c r="H21" s="53"/>
      <c r="J21" s="52">
        <v>2020</v>
      </c>
      <c r="K21" s="6">
        <f t="shared" si="2"/>
        <v>6.600566641415976</v>
      </c>
      <c r="L21" s="53"/>
    </row>
    <row r="22" spans="2:20" ht="15" thickTop="1" x14ac:dyDescent="0.35">
      <c r="B22" s="74" t="s">
        <v>259</v>
      </c>
      <c r="F22" s="522">
        <v>2029</v>
      </c>
      <c r="G22" s="231">
        <f t="shared" si="1"/>
        <v>2.1612676086142995</v>
      </c>
      <c r="H22" s="738"/>
      <c r="J22" s="52">
        <v>2021</v>
      </c>
      <c r="K22" s="6">
        <f t="shared" si="2"/>
        <v>5.636692514198792</v>
      </c>
      <c r="L22" s="53"/>
    </row>
    <row r="23" spans="2:20" x14ac:dyDescent="0.35">
      <c r="F23" s="52">
        <v>2030</v>
      </c>
      <c r="G23" s="6">
        <f t="shared" si="1"/>
        <v>1.8803015465431987</v>
      </c>
      <c r="H23" s="53"/>
      <c r="J23" s="52">
        <v>2022</v>
      </c>
      <c r="K23" s="6">
        <f t="shared" si="2"/>
        <v>4.8135719591505852</v>
      </c>
      <c r="L23" s="53"/>
    </row>
    <row r="24" spans="2:20" x14ac:dyDescent="0.35">
      <c r="F24" s="52">
        <v>2031</v>
      </c>
      <c r="G24" s="6">
        <f t="shared" si="1"/>
        <v>1.6358612380257522</v>
      </c>
      <c r="H24" s="53"/>
      <c r="J24" s="52">
        <v>2023</v>
      </c>
      <c r="K24" s="231">
        <f t="shared" si="2"/>
        <v>4.1106508732833182</v>
      </c>
      <c r="L24" s="53"/>
    </row>
    <row r="25" spans="2:20" x14ac:dyDescent="0.35">
      <c r="F25" s="52">
        <v>2032</v>
      </c>
      <c r="G25" s="6">
        <f t="shared" si="1"/>
        <v>1.4231983135869142</v>
      </c>
      <c r="H25" s="53"/>
      <c r="J25" s="52">
        <v>2024</v>
      </c>
      <c r="K25" s="6">
        <f>K24*(1+L$10)</f>
        <v>3.5103766486554555</v>
      </c>
      <c r="L25" s="53"/>
    </row>
    <row r="26" spans="2:20" x14ac:dyDescent="0.35">
      <c r="F26" s="52">
        <v>2033</v>
      </c>
      <c r="G26" s="6">
        <f t="shared" si="1"/>
        <v>1.2381816945801063</v>
      </c>
      <c r="H26" s="53"/>
      <c r="J26" s="52">
        <v>2025</v>
      </c>
      <c r="K26" s="6">
        <f t="shared" si="2"/>
        <v>2.9977598670603975</v>
      </c>
      <c r="L26" s="53"/>
    </row>
    <row r="27" spans="2:20" x14ac:dyDescent="0.35">
      <c r="F27" s="52">
        <v>2034</v>
      </c>
      <c r="G27" s="6">
        <f t="shared" si="1"/>
        <v>1.0772173450159432</v>
      </c>
      <c r="H27" s="59" t="s">
        <v>1025</v>
      </c>
      <c r="J27" s="52">
        <v>2026</v>
      </c>
      <c r="K27" s="6">
        <f t="shared" si="2"/>
        <v>2.5600000000000018</v>
      </c>
      <c r="L27" s="53"/>
    </row>
    <row r="28" spans="2:20" ht="15" thickBot="1" x14ac:dyDescent="0.4">
      <c r="F28" s="54">
        <v>2035</v>
      </c>
      <c r="G28" s="55">
        <v>1</v>
      </c>
      <c r="H28" s="68" t="s">
        <v>260</v>
      </c>
      <c r="J28" s="52">
        <v>2027</v>
      </c>
      <c r="K28" s="6">
        <f t="shared" si="2"/>
        <v>2.1861657673156012</v>
      </c>
      <c r="L28" s="53"/>
    </row>
    <row r="29" spans="2:20" ht="15" thickTop="1" x14ac:dyDescent="0.35">
      <c r="F29" s="74" t="s">
        <v>259</v>
      </c>
      <c r="J29" s="52">
        <v>2028</v>
      </c>
      <c r="K29" s="6">
        <f t="shared" si="2"/>
        <v>1.8669221727275813</v>
      </c>
      <c r="L29" s="53"/>
    </row>
    <row r="30" spans="2:20" x14ac:dyDescent="0.35">
      <c r="J30" s="522">
        <v>2029</v>
      </c>
      <c r="K30" s="231">
        <f t="shared" si="2"/>
        <v>1.594297400101367</v>
      </c>
      <c r="L30" s="738"/>
    </row>
    <row r="31" spans="2:20" x14ac:dyDescent="0.35">
      <c r="J31" s="52">
        <v>2030</v>
      </c>
      <c r="K31" s="6">
        <f t="shared" si="2"/>
        <v>1.3614837496179182</v>
      </c>
      <c r="L31" s="53"/>
    </row>
    <row r="32" spans="2:20" x14ac:dyDescent="0.35">
      <c r="J32" s="52">
        <v>2031</v>
      </c>
      <c r="K32" s="6">
        <f t="shared" si="2"/>
        <v>1.1626676430356155</v>
      </c>
      <c r="L32" s="59" t="s">
        <v>1025</v>
      </c>
    </row>
    <row r="33" spans="2:20" ht="15" thickBot="1" x14ac:dyDescent="0.4">
      <c r="J33" s="54">
        <v>2032</v>
      </c>
      <c r="K33" s="55">
        <v>1</v>
      </c>
      <c r="L33" s="68" t="s">
        <v>261</v>
      </c>
    </row>
    <row r="34" spans="2:20" ht="15" thickTop="1" x14ac:dyDescent="0.35">
      <c r="J34" s="74" t="s">
        <v>259</v>
      </c>
    </row>
    <row r="36" spans="2:20" s="16" customFormat="1" ht="21.5" thickBot="1" x14ac:dyDescent="0.55000000000000004">
      <c r="B36" s="239" t="s">
        <v>854</v>
      </c>
      <c r="C36" s="240"/>
      <c r="D36" s="240"/>
      <c r="F36" s="239" t="s">
        <v>854</v>
      </c>
      <c r="G36" s="240"/>
      <c r="H36" s="240"/>
      <c r="J36" s="239" t="s">
        <v>854</v>
      </c>
      <c r="K36" s="240"/>
      <c r="L36" s="240"/>
      <c r="T36" s="241"/>
    </row>
    <row r="37" spans="2:20" ht="15" thickTop="1" x14ac:dyDescent="0.35">
      <c r="B37" s="60" t="s">
        <v>7</v>
      </c>
      <c r="C37" s="61" t="s">
        <v>10</v>
      </c>
      <c r="D37" s="62" t="s">
        <v>13</v>
      </c>
      <c r="F37" s="60" t="s">
        <v>7</v>
      </c>
      <c r="G37" s="61" t="s">
        <v>10</v>
      </c>
      <c r="H37" s="62" t="s">
        <v>13</v>
      </c>
      <c r="J37" s="76" t="s">
        <v>7</v>
      </c>
      <c r="K37" s="77" t="s">
        <v>10</v>
      </c>
      <c r="L37" s="78" t="s">
        <v>13</v>
      </c>
      <c r="T37" s="6"/>
    </row>
    <row r="38" spans="2:20" x14ac:dyDescent="0.35">
      <c r="B38" s="63">
        <v>1972</v>
      </c>
      <c r="C38" s="242" t="s">
        <v>220</v>
      </c>
      <c r="D38" s="65" t="s">
        <v>218</v>
      </c>
      <c r="F38" s="63">
        <v>1970</v>
      </c>
      <c r="G38" s="242" t="s">
        <v>217</v>
      </c>
      <c r="H38" s="65" t="s">
        <v>223</v>
      </c>
      <c r="J38" s="71">
        <v>1994</v>
      </c>
      <c r="K38" s="244" t="s">
        <v>217</v>
      </c>
      <c r="L38" s="73" t="s">
        <v>284</v>
      </c>
      <c r="T38" s="6"/>
    </row>
    <row r="39" spans="2:20" x14ac:dyDescent="0.35">
      <c r="B39" s="63">
        <v>2022</v>
      </c>
      <c r="C39" s="242" t="s">
        <v>220</v>
      </c>
      <c r="D39" s="65" t="s">
        <v>219</v>
      </c>
      <c r="F39" s="63">
        <v>2018</v>
      </c>
      <c r="G39" s="242" t="s">
        <v>217</v>
      </c>
      <c r="H39" s="65" t="s">
        <v>224</v>
      </c>
      <c r="J39" s="71">
        <v>2010</v>
      </c>
      <c r="K39" s="244" t="s">
        <v>217</v>
      </c>
      <c r="L39" s="73" t="s">
        <v>287</v>
      </c>
      <c r="T39" s="6"/>
    </row>
    <row r="40" spans="2:20" ht="15" thickBot="1" x14ac:dyDescent="0.4">
      <c r="B40" s="66" t="s">
        <v>256</v>
      </c>
      <c r="C40" s="67"/>
      <c r="D40" s="153" t="s">
        <v>135</v>
      </c>
      <c r="F40" s="66" t="s">
        <v>256</v>
      </c>
      <c r="G40" s="67"/>
      <c r="H40" s="153" t="s">
        <v>135</v>
      </c>
      <c r="J40" s="66" t="s">
        <v>256</v>
      </c>
      <c r="K40" s="75"/>
      <c r="L40" s="153" t="s">
        <v>135</v>
      </c>
      <c r="T40" s="6"/>
    </row>
    <row r="41" spans="2:20" ht="15" thickTop="1" x14ac:dyDescent="0.35">
      <c r="B41" s="52">
        <v>2022</v>
      </c>
      <c r="C41" s="6" t="s">
        <v>225</v>
      </c>
      <c r="D41" s="58"/>
      <c r="F41" s="52">
        <f>F39</f>
        <v>2018</v>
      </c>
      <c r="G41" s="6" t="s">
        <v>225</v>
      </c>
      <c r="H41" s="53"/>
      <c r="J41" s="52">
        <f>J39</f>
        <v>2010</v>
      </c>
      <c r="K41" s="6" t="s">
        <v>225</v>
      </c>
      <c r="L41" s="53"/>
      <c r="T41" s="6"/>
    </row>
    <row r="42" spans="2:20" x14ac:dyDescent="0.35">
      <c r="B42" s="52">
        <v>2023</v>
      </c>
      <c r="C42" s="6" t="s">
        <v>135</v>
      </c>
      <c r="D42" s="53"/>
      <c r="F42" s="52">
        <v>2019</v>
      </c>
      <c r="G42" s="6" t="s">
        <v>135</v>
      </c>
      <c r="H42" s="53"/>
      <c r="J42" s="52">
        <v>2011</v>
      </c>
      <c r="K42" s="6" t="s">
        <v>135</v>
      </c>
      <c r="L42" s="53"/>
      <c r="T42" s="6"/>
    </row>
    <row r="43" spans="2:20" x14ac:dyDescent="0.35">
      <c r="B43" s="52">
        <v>2024</v>
      </c>
      <c r="C43" s="6" t="s">
        <v>135</v>
      </c>
      <c r="D43" s="53"/>
      <c r="F43" s="52">
        <v>2020</v>
      </c>
      <c r="G43" s="6" t="s">
        <v>135</v>
      </c>
      <c r="H43" s="53"/>
      <c r="J43" s="52">
        <v>2012</v>
      </c>
      <c r="K43" s="6" t="s">
        <v>135</v>
      </c>
      <c r="L43" s="53"/>
      <c r="T43" s="6"/>
    </row>
    <row r="44" spans="2:20" x14ac:dyDescent="0.35">
      <c r="B44" s="52">
        <v>2025</v>
      </c>
      <c r="C44" s="6" t="s">
        <v>135</v>
      </c>
      <c r="D44" s="53"/>
      <c r="F44" s="52">
        <v>2021</v>
      </c>
      <c r="G44" s="6" t="s">
        <v>135</v>
      </c>
      <c r="H44" s="53"/>
      <c r="J44" s="52">
        <v>2013</v>
      </c>
      <c r="K44" s="6" t="s">
        <v>135</v>
      </c>
      <c r="L44" s="53"/>
      <c r="T44" s="6"/>
    </row>
    <row r="45" spans="2:20" x14ac:dyDescent="0.35">
      <c r="B45" s="52">
        <v>2026</v>
      </c>
      <c r="C45" s="6" t="s">
        <v>135</v>
      </c>
      <c r="D45" s="53"/>
      <c r="F45" s="52">
        <v>2022</v>
      </c>
      <c r="G45" s="6" t="s">
        <v>135</v>
      </c>
      <c r="H45" s="53"/>
      <c r="J45" s="52">
        <v>2014</v>
      </c>
      <c r="K45" s="6" t="s">
        <v>135</v>
      </c>
      <c r="L45" s="53"/>
      <c r="T45" s="6"/>
    </row>
    <row r="46" spans="2:20" x14ac:dyDescent="0.35">
      <c r="B46" s="52">
        <v>2027</v>
      </c>
      <c r="C46" s="6" t="s">
        <v>135</v>
      </c>
      <c r="D46" s="53"/>
      <c r="F46" s="52">
        <v>2023</v>
      </c>
      <c r="G46" s="6" t="s">
        <v>135</v>
      </c>
      <c r="H46" s="53"/>
      <c r="J46" s="52">
        <v>2015</v>
      </c>
      <c r="K46" s="6" t="s">
        <v>135</v>
      </c>
      <c r="L46" s="53"/>
      <c r="T46" s="6"/>
    </row>
    <row r="47" spans="2:20" x14ac:dyDescent="0.35">
      <c r="B47" s="52">
        <v>2028</v>
      </c>
      <c r="C47" s="6" t="s">
        <v>135</v>
      </c>
      <c r="D47" s="53"/>
      <c r="F47" s="52">
        <v>2024</v>
      </c>
      <c r="G47" s="6" t="s">
        <v>135</v>
      </c>
      <c r="H47" s="53"/>
      <c r="J47" s="52">
        <v>2016</v>
      </c>
      <c r="K47" s="6" t="s">
        <v>135</v>
      </c>
      <c r="L47" s="53"/>
      <c r="T47" s="6"/>
    </row>
    <row r="48" spans="2:20" x14ac:dyDescent="0.35">
      <c r="B48" s="522">
        <v>2029</v>
      </c>
      <c r="C48" s="231" t="s">
        <v>135</v>
      </c>
      <c r="D48" s="738"/>
      <c r="F48" s="52">
        <v>2025</v>
      </c>
      <c r="G48" s="6" t="s">
        <v>135</v>
      </c>
      <c r="H48" s="53"/>
      <c r="J48" s="52">
        <v>2017</v>
      </c>
      <c r="K48" s="6" t="s">
        <v>135</v>
      </c>
      <c r="L48" s="53"/>
    </row>
    <row r="49" spans="2:12" x14ac:dyDescent="0.35">
      <c r="B49" s="52">
        <v>2030</v>
      </c>
      <c r="C49" s="6" t="s">
        <v>135</v>
      </c>
      <c r="D49" s="53"/>
      <c r="F49" s="52">
        <v>2026</v>
      </c>
      <c r="G49" s="6" t="s">
        <v>135</v>
      </c>
      <c r="H49" s="53"/>
      <c r="J49" s="52">
        <v>2018</v>
      </c>
      <c r="K49" s="6" t="s">
        <v>135</v>
      </c>
      <c r="L49" s="53"/>
    </row>
    <row r="50" spans="2:12" x14ac:dyDescent="0.35">
      <c r="B50" s="52">
        <v>2031</v>
      </c>
      <c r="C50" s="6" t="s">
        <v>135</v>
      </c>
      <c r="D50" s="59" t="s">
        <v>1025</v>
      </c>
      <c r="F50" s="52">
        <v>2027</v>
      </c>
      <c r="G50" s="6" t="s">
        <v>135</v>
      </c>
      <c r="H50" s="53"/>
      <c r="J50" s="52">
        <v>2019</v>
      </c>
      <c r="K50" s="6" t="s">
        <v>135</v>
      </c>
      <c r="L50" s="53"/>
    </row>
    <row r="51" spans="2:12" ht="15" thickBot="1" x14ac:dyDescent="0.4">
      <c r="B51" s="54">
        <v>2032</v>
      </c>
      <c r="C51" s="55" t="s">
        <v>45</v>
      </c>
      <c r="D51" s="68" t="s">
        <v>257</v>
      </c>
      <c r="F51" s="52">
        <v>2028</v>
      </c>
      <c r="G51" s="6" t="s">
        <v>135</v>
      </c>
      <c r="H51" s="53"/>
      <c r="J51" s="52">
        <v>2020</v>
      </c>
      <c r="K51" s="6" t="s">
        <v>135</v>
      </c>
      <c r="L51" s="53"/>
    </row>
    <row r="52" spans="2:12" ht="15" thickTop="1" x14ac:dyDescent="0.35">
      <c r="B52" s="74" t="s">
        <v>259</v>
      </c>
      <c r="F52" s="522">
        <v>2029</v>
      </c>
      <c r="G52" s="231" t="s">
        <v>135</v>
      </c>
      <c r="H52" s="738"/>
      <c r="J52" s="52">
        <v>2021</v>
      </c>
      <c r="K52" s="6" t="s">
        <v>135</v>
      </c>
      <c r="L52" s="53"/>
    </row>
    <row r="53" spans="2:12" x14ac:dyDescent="0.35">
      <c r="F53" s="52">
        <v>2030</v>
      </c>
      <c r="G53" s="6" t="s">
        <v>135</v>
      </c>
      <c r="H53" s="53"/>
      <c r="J53" s="52">
        <v>2022</v>
      </c>
      <c r="K53" s="6" t="s">
        <v>135</v>
      </c>
      <c r="L53" s="53"/>
    </row>
    <row r="54" spans="2:12" x14ac:dyDescent="0.35">
      <c r="F54" s="52">
        <v>2031</v>
      </c>
      <c r="G54" s="6" t="s">
        <v>135</v>
      </c>
      <c r="H54" s="53"/>
      <c r="J54" s="52">
        <v>2023</v>
      </c>
      <c r="K54" s="6" t="s">
        <v>135</v>
      </c>
      <c r="L54" s="53"/>
    </row>
    <row r="55" spans="2:12" x14ac:dyDescent="0.35">
      <c r="F55" s="52">
        <v>2032</v>
      </c>
      <c r="G55" s="6" t="s">
        <v>135</v>
      </c>
      <c r="H55" s="53"/>
      <c r="J55" s="52">
        <v>2024</v>
      </c>
      <c r="K55" s="6" t="s">
        <v>135</v>
      </c>
      <c r="L55" s="53"/>
    </row>
    <row r="56" spans="2:12" x14ac:dyDescent="0.35">
      <c r="F56" s="52">
        <v>2033</v>
      </c>
      <c r="G56" s="6" t="s">
        <v>135</v>
      </c>
      <c r="H56" s="53"/>
      <c r="J56" s="52">
        <v>2025</v>
      </c>
      <c r="K56" s="6" t="s">
        <v>135</v>
      </c>
      <c r="L56" s="53"/>
    </row>
    <row r="57" spans="2:12" x14ac:dyDescent="0.35">
      <c r="F57" s="52">
        <v>2034</v>
      </c>
      <c r="G57" s="6" t="s">
        <v>135</v>
      </c>
      <c r="H57" s="59" t="s">
        <v>1025</v>
      </c>
      <c r="J57" s="52">
        <v>2026</v>
      </c>
      <c r="K57" s="6" t="s">
        <v>135</v>
      </c>
      <c r="L57" s="53"/>
    </row>
    <row r="58" spans="2:12" ht="15" thickBot="1" x14ac:dyDescent="0.4">
      <c r="F58" s="54">
        <v>2035</v>
      </c>
      <c r="G58" s="55" t="s">
        <v>45</v>
      </c>
      <c r="H58" s="68" t="s">
        <v>260</v>
      </c>
      <c r="J58" s="52">
        <v>2027</v>
      </c>
      <c r="K58" s="6" t="s">
        <v>135</v>
      </c>
      <c r="L58" s="53"/>
    </row>
    <row r="59" spans="2:12" ht="15" thickTop="1" x14ac:dyDescent="0.35">
      <c r="F59" s="74" t="s">
        <v>259</v>
      </c>
      <c r="J59" s="52">
        <v>2028</v>
      </c>
      <c r="K59" s="6" t="s">
        <v>135</v>
      </c>
      <c r="L59" s="53"/>
    </row>
    <row r="60" spans="2:12" x14ac:dyDescent="0.35">
      <c r="J60" s="522">
        <v>2029</v>
      </c>
      <c r="K60" s="231" t="s">
        <v>135</v>
      </c>
      <c r="L60" s="738"/>
    </row>
    <row r="61" spans="2:12" x14ac:dyDescent="0.35">
      <c r="J61" s="52">
        <v>2030</v>
      </c>
      <c r="K61" s="6" t="s">
        <v>135</v>
      </c>
      <c r="L61" s="53"/>
    </row>
    <row r="62" spans="2:12" x14ac:dyDescent="0.35">
      <c r="J62" s="52">
        <v>2031</v>
      </c>
      <c r="K62" s="6" t="s">
        <v>135</v>
      </c>
      <c r="L62" s="59" t="s">
        <v>1025</v>
      </c>
    </row>
    <row r="63" spans="2:12" ht="15" thickBot="1" x14ac:dyDescent="0.4">
      <c r="J63" s="54">
        <v>2032</v>
      </c>
      <c r="K63" s="55" t="s">
        <v>45</v>
      </c>
      <c r="L63" s="68" t="s">
        <v>261</v>
      </c>
    </row>
    <row r="64" spans="2:12" ht="15" thickTop="1" x14ac:dyDescent="0.35">
      <c r="J64" s="74" t="s">
        <v>259</v>
      </c>
    </row>
    <row r="68" spans="2:13" x14ac:dyDescent="0.35">
      <c r="B68" s="8" t="s">
        <v>221</v>
      </c>
      <c r="F68" s="8" t="s">
        <v>222</v>
      </c>
      <c r="J68" s="8" t="s">
        <v>216</v>
      </c>
    </row>
    <row r="69" spans="2:13" x14ac:dyDescent="0.35">
      <c r="B69" t="s">
        <v>105</v>
      </c>
      <c r="F69" t="s">
        <v>105</v>
      </c>
      <c r="J69" t="s">
        <v>105</v>
      </c>
    </row>
    <row r="70" spans="2:13" x14ac:dyDescent="0.35">
      <c r="B70" s="14" t="s">
        <v>220</v>
      </c>
      <c r="E70" t="s">
        <v>45</v>
      </c>
      <c r="F70" s="14" t="s">
        <v>217</v>
      </c>
      <c r="I70" t="s">
        <v>45</v>
      </c>
      <c r="J70" s="14" t="s">
        <v>217</v>
      </c>
      <c r="M70" t="s">
        <v>45</v>
      </c>
    </row>
    <row r="72" spans="2:13" x14ac:dyDescent="0.35">
      <c r="B72" t="s">
        <v>1</v>
      </c>
      <c r="D72" t="s">
        <v>0</v>
      </c>
      <c r="F72" t="s">
        <v>1</v>
      </c>
      <c r="H72" t="s">
        <v>0</v>
      </c>
      <c r="J72" t="s">
        <v>1</v>
      </c>
      <c r="L72" t="s">
        <v>0</v>
      </c>
    </row>
    <row r="73" spans="2:13" x14ac:dyDescent="0.35">
      <c r="B73" s="56">
        <f>D10</f>
        <v>-0.14485216641775234</v>
      </c>
      <c r="D73" s="2">
        <f>C8*(1+D10)^(B9-B8)</f>
        <v>3.999999999999992</v>
      </c>
      <c r="F73" s="69">
        <f>H10</f>
        <v>-0.13000058898363009</v>
      </c>
      <c r="H73" s="2">
        <f>G8*(1+H10)^(F9-F8)</f>
        <v>10.000000000000043</v>
      </c>
      <c r="L73" s="2">
        <f>K8*(1+L10)^(J9-J8)</f>
        <v>32.000000000000014</v>
      </c>
    </row>
    <row r="74" spans="2:13" x14ac:dyDescent="0.35">
      <c r="B74" s="3"/>
      <c r="F74" s="3"/>
      <c r="J74" s="3"/>
    </row>
    <row r="75" spans="2:13" x14ac:dyDescent="0.35">
      <c r="B75" s="3" t="s">
        <v>2</v>
      </c>
      <c r="D75" t="s">
        <v>4</v>
      </c>
      <c r="F75" s="3" t="s">
        <v>2</v>
      </c>
      <c r="H75" t="s">
        <v>4</v>
      </c>
      <c r="J75" s="3" t="s">
        <v>2</v>
      </c>
      <c r="L75" t="s">
        <v>4</v>
      </c>
    </row>
    <row r="76" spans="2:13" x14ac:dyDescent="0.35">
      <c r="B76" s="5">
        <f>1*(1+D10)^D76</f>
        <v>0.73127781728041152</v>
      </c>
      <c r="D76">
        <v>2</v>
      </c>
      <c r="F76" s="5">
        <f>1*(1+H10)^H76</f>
        <v>0.75689897516883053</v>
      </c>
      <c r="H76">
        <v>2</v>
      </c>
      <c r="J76" s="5">
        <f>1*(1+L10)^L76</f>
        <v>0.72926647372171094</v>
      </c>
      <c r="L76">
        <v>2</v>
      </c>
    </row>
    <row r="77" spans="2:13" x14ac:dyDescent="0.35">
      <c r="B77" s="3"/>
      <c r="F77" s="3"/>
      <c r="J77" s="3"/>
    </row>
    <row r="78" spans="2:13" x14ac:dyDescent="0.35">
      <c r="B78" s="3" t="s">
        <v>3</v>
      </c>
      <c r="D78" t="s">
        <v>4</v>
      </c>
      <c r="F78" s="3" t="s">
        <v>3</v>
      </c>
      <c r="H78" t="s">
        <v>4</v>
      </c>
      <c r="J78" s="3" t="s">
        <v>3</v>
      </c>
      <c r="L78" t="s">
        <v>4</v>
      </c>
    </row>
    <row r="79" spans="2:13" x14ac:dyDescent="0.35">
      <c r="B79" s="3">
        <f>1*(1+D10)^D79</f>
        <v>0.20912791051825455</v>
      </c>
      <c r="D79">
        <v>10</v>
      </c>
      <c r="F79" s="3">
        <f>1*(1+H10)^H79</f>
        <v>0.24842173238823409</v>
      </c>
      <c r="H79">
        <v>10</v>
      </c>
      <c r="J79" s="3">
        <f>1*(1+L10)^L79</f>
        <v>0.20626770754424922</v>
      </c>
      <c r="L79">
        <v>10</v>
      </c>
    </row>
    <row r="80" spans="2:13" x14ac:dyDescent="0.35">
      <c r="B80" s="3"/>
      <c r="F80" s="3"/>
      <c r="J80" s="3"/>
    </row>
    <row r="81" spans="1:12" x14ac:dyDescent="0.35">
      <c r="B81" s="3" t="s">
        <v>6</v>
      </c>
      <c r="D81" t="s">
        <v>4</v>
      </c>
      <c r="F81" s="3" t="s">
        <v>6</v>
      </c>
      <c r="H81" t="s">
        <v>4</v>
      </c>
      <c r="J81" s="3" t="s">
        <v>6</v>
      </c>
      <c r="L81" t="s">
        <v>4</v>
      </c>
    </row>
    <row r="82" spans="1:12" x14ac:dyDescent="0.35">
      <c r="B82" s="3">
        <f>1*(1+D10)^D82</f>
        <v>4.3734482957731087E-2</v>
      </c>
      <c r="D82">
        <v>20</v>
      </c>
      <c r="F82" s="3">
        <f>1*(1+H10)^H82</f>
        <v>6.1713357122771401E-2</v>
      </c>
      <c r="H82">
        <v>20</v>
      </c>
      <c r="J82" s="3">
        <f>1*(1+L10)^L82</f>
        <v>4.2546367175559929E-2</v>
      </c>
      <c r="L82">
        <v>20</v>
      </c>
    </row>
    <row r="85" spans="1:12" x14ac:dyDescent="0.35">
      <c r="A85" t="s">
        <v>226</v>
      </c>
    </row>
    <row r="86" spans="1:12" x14ac:dyDescent="0.35">
      <c r="A86" s="14" t="s">
        <v>227</v>
      </c>
    </row>
  </sheetData>
  <hyperlinks>
    <hyperlink ref="B70" r:id="rId1" location="Microprocessors" xr:uid="{2618566F-4B08-424A-A8E3-8CD30BFEA98F}"/>
    <hyperlink ref="F70" r:id="rId2" location="Memory" xr:uid="{CF0C23AE-102D-43D5-B8B0-FE06BF8174A1}"/>
    <hyperlink ref="A86" r:id="rId3" xr:uid="{1A880AF2-7CDB-44C2-B7E9-886E9D6E7C5F}"/>
    <hyperlink ref="C38" r:id="rId4" location="Microprocessors" xr:uid="{7215EEE0-A27A-405E-AACD-0A242D150197}"/>
    <hyperlink ref="C39" r:id="rId5" location="Microprocessors" xr:uid="{5D9BE405-2C34-4F77-9852-5737425DD3D6}"/>
    <hyperlink ref="G38" r:id="rId6" location="Memory" xr:uid="{24621B09-AD94-4194-AD60-BC5F42BC804F}"/>
    <hyperlink ref="G39" r:id="rId7" location="Memory" xr:uid="{8CC1DC52-636F-46A4-BA5B-D5A57C08D4CA}"/>
    <hyperlink ref="J70" r:id="rId8" location="Memory" xr:uid="{DFB8A222-4E04-4396-8289-5EB89DD202B1}"/>
    <hyperlink ref="K38" r:id="rId9" location="Memory" xr:uid="{08F44EED-C8E2-4CDC-8601-4407861B3ECE}"/>
    <hyperlink ref="K39" r:id="rId10" location="Memory" xr:uid="{5908DD4F-27CA-4D9C-A588-706FBB2A770F}"/>
  </hyperlinks>
  <pageMargins left="0.7" right="0.7" top="0.75" bottom="0.75" header="0.3" footer="0.3"/>
  <pageSetup orientation="portrait" verticalDpi="0"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B551D-A680-4566-9A73-25F091C77F4C}">
  <dimension ref="A1:T53"/>
  <sheetViews>
    <sheetView zoomScale="110" zoomScaleNormal="110" workbookViewId="0">
      <selection activeCell="C14" sqref="C14"/>
    </sheetView>
  </sheetViews>
  <sheetFormatPr defaultRowHeight="14.5" x14ac:dyDescent="0.35"/>
  <cols>
    <col min="1" max="1" width="2.08984375" customWidth="1"/>
    <col min="2" max="2" width="3.1796875" customWidth="1"/>
    <col min="3" max="3" width="132.6328125" customWidth="1"/>
    <col min="4" max="4" width="36.81640625" customWidth="1"/>
    <col min="5" max="5" width="14.54296875" customWidth="1"/>
    <col min="6" max="6" width="20.7265625" customWidth="1"/>
    <col min="7" max="7" width="15.6328125" customWidth="1"/>
    <col min="8" max="8" width="4.08984375" customWidth="1"/>
    <col min="10" max="10" width="3.26953125" customWidth="1"/>
    <col min="11" max="11" width="11.7265625" customWidth="1"/>
    <col min="12" max="12" width="4.54296875" customWidth="1"/>
    <col min="13" max="13" width="14.36328125" customWidth="1"/>
    <col min="14" max="14" width="20.453125" customWidth="1"/>
    <col min="15" max="15" width="15.08984375" customWidth="1"/>
    <col min="16" max="16" width="14.90625" customWidth="1"/>
    <col min="17" max="17" width="18.1796875" customWidth="1"/>
    <col min="18" max="18" width="14.54296875" customWidth="1"/>
    <col min="19" max="19" width="4" customWidth="1"/>
  </cols>
  <sheetData>
    <row r="1" spans="1:20" ht="28.5" x14ac:dyDescent="0.65">
      <c r="A1" s="9" t="str">
        <f>AI_Models!$A$1</f>
        <v>Path towards AGI &amp; artificial humans - How close are AIs and robotics from being able to do any work that humans can do? #74/101</v>
      </c>
    </row>
    <row r="2" spans="1:20" ht="15.5" x14ac:dyDescent="0.35">
      <c r="A2" s="10" t="str">
        <f>KeyChips!A2</f>
        <v>Proprietary. © H. Mathiesen. This material can be used by others free of charge provided that the author H. Mathiesen is attributed and a clickable link is made visible to the location of used material on www.hmexperience.dk</v>
      </c>
    </row>
    <row r="3" spans="1:20" ht="15.5" x14ac:dyDescent="0.35">
      <c r="A3" s="414" t="str">
        <f>AI_Models!A3</f>
        <v>Links to all sources are available in sources table below</v>
      </c>
      <c r="B3" s="415"/>
      <c r="C3" s="415"/>
      <c r="D3" s="415"/>
      <c r="E3" s="415"/>
      <c r="F3" s="415"/>
    </row>
    <row r="5" spans="1:20" ht="24" thickBot="1" x14ac:dyDescent="0.6">
      <c r="C5" s="30" t="s">
        <v>1356</v>
      </c>
      <c r="D5" s="30"/>
      <c r="E5" s="30"/>
      <c r="F5" s="31"/>
    </row>
    <row r="6" spans="1:20" ht="21.5" thickTop="1" x14ac:dyDescent="0.5">
      <c r="C6" s="928" t="s">
        <v>1277</v>
      </c>
      <c r="D6" s="19" t="s">
        <v>1533</v>
      </c>
      <c r="E6" s="19" t="s">
        <v>1500</v>
      </c>
      <c r="F6" s="19" t="s">
        <v>1278</v>
      </c>
      <c r="G6" s="19" t="s">
        <v>1280</v>
      </c>
      <c r="H6" s="19"/>
      <c r="I6" s="20" t="s">
        <v>1098</v>
      </c>
      <c r="K6" s="2"/>
    </row>
    <row r="7" spans="1:20" x14ac:dyDescent="0.35">
      <c r="C7" s="21"/>
      <c r="D7" s="13"/>
      <c r="E7" s="13" t="s">
        <v>492</v>
      </c>
      <c r="F7" s="13"/>
      <c r="G7" s="13" t="s">
        <v>1281</v>
      </c>
      <c r="H7" s="13"/>
      <c r="I7" s="22" t="s">
        <v>95</v>
      </c>
      <c r="K7" s="2"/>
    </row>
    <row r="8" spans="1:20" ht="15" thickBot="1" x14ac:dyDescent="0.4">
      <c r="C8" s="181"/>
      <c r="D8" s="173"/>
      <c r="E8" s="173"/>
      <c r="F8" s="173"/>
      <c r="G8" s="173" t="s">
        <v>1279</v>
      </c>
      <c r="H8" s="173"/>
      <c r="I8" s="182"/>
      <c r="K8" t="s">
        <v>1203</v>
      </c>
    </row>
    <row r="9" spans="1:20" ht="21.5" thickTop="1" x14ac:dyDescent="0.5">
      <c r="B9">
        <v>1</v>
      </c>
      <c r="C9" s="699" t="s">
        <v>1470</v>
      </c>
      <c r="D9" s="210"/>
      <c r="E9" s="210"/>
      <c r="F9" s="210"/>
      <c r="G9" s="210"/>
      <c r="H9" s="210"/>
      <c r="I9" s="211"/>
      <c r="J9">
        <v>1</v>
      </c>
      <c r="S9" t="s">
        <v>45</v>
      </c>
    </row>
    <row r="10" spans="1:20" x14ac:dyDescent="0.35">
      <c r="B10">
        <f t="shared" ref="B10:B26" si="0">B9+1</f>
        <v>2</v>
      </c>
      <c r="C10" s="23" t="s">
        <v>1620</v>
      </c>
      <c r="D10" s="137" t="s">
        <v>1284</v>
      </c>
      <c r="E10" s="425" t="s">
        <v>1501</v>
      </c>
      <c r="F10" s="132"/>
      <c r="G10" s="438"/>
      <c r="H10" s="132"/>
      <c r="I10" s="441"/>
      <c r="J10">
        <f t="shared" ref="J10:J26" si="1">J9+1</f>
        <v>2</v>
      </c>
      <c r="S10" t="s">
        <v>45</v>
      </c>
    </row>
    <row r="11" spans="1:20" x14ac:dyDescent="0.35">
      <c r="B11">
        <f t="shared" si="0"/>
        <v>3</v>
      </c>
      <c r="C11" s="23" t="s">
        <v>1621</v>
      </c>
      <c r="D11" s="425" t="s">
        <v>1282</v>
      </c>
      <c r="E11" s="425" t="s">
        <v>1501</v>
      </c>
      <c r="F11" s="132"/>
      <c r="G11" s="438"/>
      <c r="H11" s="132"/>
      <c r="I11" s="440"/>
      <c r="J11">
        <f t="shared" si="1"/>
        <v>3</v>
      </c>
      <c r="S11" t="s">
        <v>45</v>
      </c>
    </row>
    <row r="12" spans="1:20" x14ac:dyDescent="0.35">
      <c r="B12">
        <f t="shared" si="0"/>
        <v>4</v>
      </c>
      <c r="C12" s="23" t="s">
        <v>1622</v>
      </c>
      <c r="D12" s="425" t="s">
        <v>1283</v>
      </c>
      <c r="E12" s="425" t="s">
        <v>1501</v>
      </c>
      <c r="F12" s="132"/>
      <c r="G12" s="438"/>
      <c r="H12" s="132"/>
      <c r="I12" s="440"/>
      <c r="J12">
        <f t="shared" si="1"/>
        <v>4</v>
      </c>
      <c r="L12" t="s">
        <v>45</v>
      </c>
    </row>
    <row r="13" spans="1:20" x14ac:dyDescent="0.35">
      <c r="B13">
        <f t="shared" si="0"/>
        <v>5</v>
      </c>
      <c r="C13" s="23" t="s">
        <v>2132</v>
      </c>
      <c r="D13" s="137" t="s">
        <v>1528</v>
      </c>
      <c r="E13" s="137" t="s">
        <v>2130</v>
      </c>
      <c r="F13" s="132" t="s">
        <v>2129</v>
      </c>
      <c r="G13" s="491" t="s">
        <v>1502</v>
      </c>
      <c r="H13" s="132"/>
      <c r="I13" s="441"/>
      <c r="J13">
        <f t="shared" si="1"/>
        <v>5</v>
      </c>
      <c r="L13" s="14" t="s">
        <v>2797</v>
      </c>
      <c r="M13" s="131" t="s">
        <v>1467</v>
      </c>
      <c r="N13" s="14" t="s">
        <v>1468</v>
      </c>
      <c r="O13" s="14" t="s">
        <v>1469</v>
      </c>
      <c r="P13" t="s">
        <v>45</v>
      </c>
      <c r="S13" t="s">
        <v>45</v>
      </c>
    </row>
    <row r="14" spans="1:20" x14ac:dyDescent="0.35">
      <c r="B14">
        <f t="shared" si="0"/>
        <v>6</v>
      </c>
      <c r="C14" s="23" t="s">
        <v>2131</v>
      </c>
      <c r="D14" s="137" t="s">
        <v>2133</v>
      </c>
      <c r="E14" s="137"/>
      <c r="F14" s="132"/>
      <c r="G14" s="438"/>
      <c r="H14" s="132"/>
      <c r="I14" s="441"/>
      <c r="J14">
        <f t="shared" si="1"/>
        <v>6</v>
      </c>
    </row>
    <row r="15" spans="1:20" ht="15" thickBot="1" x14ac:dyDescent="0.4">
      <c r="B15">
        <f t="shared" si="0"/>
        <v>7</v>
      </c>
      <c r="C15" s="23"/>
      <c r="D15" s="137"/>
      <c r="E15" s="137"/>
      <c r="F15" s="132"/>
      <c r="G15" s="438"/>
      <c r="H15" s="132"/>
      <c r="I15" s="441"/>
      <c r="J15">
        <f t="shared" si="1"/>
        <v>7</v>
      </c>
    </row>
    <row r="16" spans="1:20" ht="21.5" thickTop="1" x14ac:dyDescent="0.5">
      <c r="B16">
        <f t="shared" si="0"/>
        <v>8</v>
      </c>
      <c r="C16" s="702" t="s">
        <v>1276</v>
      </c>
      <c r="D16" s="495"/>
      <c r="E16" s="495"/>
      <c r="F16" s="496"/>
      <c r="G16" s="497"/>
      <c r="H16" s="496"/>
      <c r="I16" s="498"/>
      <c r="J16">
        <f t="shared" si="1"/>
        <v>8</v>
      </c>
      <c r="S16" s="37"/>
      <c r="T16" s="37"/>
    </row>
    <row r="17" spans="2:20" x14ac:dyDescent="0.35">
      <c r="B17">
        <f t="shared" si="0"/>
        <v>9</v>
      </c>
      <c r="C17" s="23" t="s">
        <v>1529</v>
      </c>
      <c r="D17" s="137" t="s">
        <v>1586</v>
      </c>
      <c r="E17" s="137"/>
      <c r="F17" s="132"/>
      <c r="G17" s="438"/>
      <c r="H17" s="132"/>
      <c r="I17" s="441"/>
      <c r="J17">
        <f t="shared" si="1"/>
        <v>9</v>
      </c>
      <c r="S17" s="421"/>
      <c r="T17" s="426"/>
    </row>
    <row r="18" spans="2:20" x14ac:dyDescent="0.35">
      <c r="B18">
        <f t="shared" si="0"/>
        <v>10</v>
      </c>
      <c r="C18" s="23"/>
      <c r="D18" s="137"/>
      <c r="E18" s="137"/>
      <c r="F18" s="132"/>
      <c r="G18" s="438"/>
      <c r="H18" s="132"/>
      <c r="I18" s="441"/>
      <c r="J18">
        <f t="shared" si="1"/>
        <v>10</v>
      </c>
      <c r="S18" s="421"/>
      <c r="T18" s="426"/>
    </row>
    <row r="19" spans="2:20" ht="15" thickBot="1" x14ac:dyDescent="0.4">
      <c r="B19">
        <f t="shared" si="0"/>
        <v>11</v>
      </c>
      <c r="C19" s="23"/>
      <c r="D19" s="137"/>
      <c r="E19" s="137"/>
      <c r="F19" s="132"/>
      <c r="G19" s="442"/>
      <c r="H19" s="132"/>
      <c r="I19" s="440"/>
      <c r="J19">
        <f t="shared" si="1"/>
        <v>11</v>
      </c>
      <c r="O19" s="8"/>
      <c r="P19" s="8"/>
      <c r="Q19" s="8"/>
      <c r="R19" s="8"/>
      <c r="S19" s="421"/>
      <c r="T19" s="426"/>
    </row>
    <row r="20" spans="2:20" ht="21.5" thickTop="1" x14ac:dyDescent="0.5">
      <c r="B20">
        <f t="shared" si="0"/>
        <v>12</v>
      </c>
      <c r="C20" s="702" t="s">
        <v>1293</v>
      </c>
      <c r="D20" s="495"/>
      <c r="E20" s="495"/>
      <c r="F20" s="496"/>
      <c r="G20" s="497"/>
      <c r="H20" s="496"/>
      <c r="I20" s="498"/>
      <c r="J20">
        <f t="shared" si="1"/>
        <v>12</v>
      </c>
      <c r="O20" s="8"/>
      <c r="P20" s="8"/>
      <c r="Q20" s="8"/>
      <c r="R20" s="8"/>
      <c r="S20" s="37"/>
      <c r="T20" s="37"/>
    </row>
    <row r="21" spans="2:20" x14ac:dyDescent="0.35">
      <c r="B21">
        <f t="shared" si="0"/>
        <v>13</v>
      </c>
      <c r="C21" s="23" t="s">
        <v>1300</v>
      </c>
      <c r="D21" s="199" t="s">
        <v>1530</v>
      </c>
      <c r="E21" s="199"/>
      <c r="F21" s="132" t="s">
        <v>1531</v>
      </c>
      <c r="G21" s="438"/>
      <c r="H21" s="132"/>
      <c r="I21" s="428"/>
      <c r="J21">
        <f t="shared" si="1"/>
        <v>13</v>
      </c>
      <c r="O21" s="8"/>
      <c r="P21" s="8"/>
      <c r="Q21" s="8"/>
      <c r="R21" s="8"/>
      <c r="S21" s="37"/>
      <c r="T21" s="37"/>
    </row>
    <row r="22" spans="2:20" x14ac:dyDescent="0.35">
      <c r="B22">
        <f t="shared" si="0"/>
        <v>14</v>
      </c>
      <c r="C22" s="23" t="s">
        <v>1294</v>
      </c>
      <c r="D22" s="137" t="s">
        <v>1585</v>
      </c>
      <c r="E22" s="137"/>
      <c r="F22" s="132"/>
      <c r="G22" s="438"/>
      <c r="H22" s="132"/>
      <c r="I22" s="441"/>
      <c r="J22">
        <f t="shared" si="1"/>
        <v>14</v>
      </c>
      <c r="M22" t="s">
        <v>1532</v>
      </c>
      <c r="O22" s="8"/>
      <c r="P22" s="8"/>
      <c r="Q22" s="8"/>
      <c r="R22" s="8"/>
      <c r="S22" s="421"/>
      <c r="T22" s="426"/>
    </row>
    <row r="23" spans="2:20" x14ac:dyDescent="0.35">
      <c r="B23">
        <f t="shared" si="0"/>
        <v>15</v>
      </c>
      <c r="C23" s="23"/>
      <c r="D23" s="137"/>
      <c r="E23" s="137"/>
      <c r="F23" s="132"/>
      <c r="G23" s="438"/>
      <c r="H23" s="132"/>
      <c r="I23" s="441"/>
      <c r="J23">
        <f t="shared" si="1"/>
        <v>15</v>
      </c>
      <c r="O23" s="8"/>
      <c r="P23" s="8"/>
      <c r="Q23" s="8"/>
      <c r="R23" s="8"/>
      <c r="S23" s="421"/>
      <c r="T23" s="426"/>
    </row>
    <row r="24" spans="2:20" x14ac:dyDescent="0.35">
      <c r="B24">
        <f t="shared" si="0"/>
        <v>16</v>
      </c>
      <c r="C24" s="23"/>
      <c r="D24" s="48"/>
      <c r="E24" s="48"/>
      <c r="F24" s="132"/>
      <c r="G24" s="438"/>
      <c r="H24" s="132"/>
      <c r="I24" s="441"/>
      <c r="J24">
        <f t="shared" si="1"/>
        <v>16</v>
      </c>
      <c r="O24" s="8"/>
      <c r="P24" s="8"/>
      <c r="Q24" s="8"/>
      <c r="R24" s="8"/>
      <c r="S24" s="421"/>
      <c r="T24" s="426"/>
    </row>
    <row r="25" spans="2:20" x14ac:dyDescent="0.35">
      <c r="B25">
        <f t="shared" si="0"/>
        <v>17</v>
      </c>
      <c r="C25" s="23"/>
      <c r="D25" s="48"/>
      <c r="E25" s="48"/>
      <c r="F25" s="132"/>
      <c r="G25" s="438"/>
      <c r="H25" s="132"/>
      <c r="I25" s="441"/>
      <c r="J25">
        <f t="shared" si="1"/>
        <v>17</v>
      </c>
      <c r="O25" s="8"/>
      <c r="P25" s="8"/>
      <c r="Q25" s="8"/>
      <c r="R25" s="8"/>
      <c r="S25" s="421"/>
      <c r="T25" s="426"/>
    </row>
    <row r="26" spans="2:20" ht="15" thickBot="1" x14ac:dyDescent="0.4">
      <c r="B26">
        <f t="shared" si="0"/>
        <v>18</v>
      </c>
      <c r="C26" s="27"/>
      <c r="D26" s="443"/>
      <c r="E26" s="443"/>
      <c r="F26" s="444"/>
      <c r="G26" s="445"/>
      <c r="H26" s="444"/>
      <c r="I26" s="446"/>
      <c r="J26">
        <f t="shared" si="1"/>
        <v>18</v>
      </c>
      <c r="O26" s="8"/>
      <c r="P26" s="8"/>
      <c r="Q26" s="8"/>
      <c r="R26" s="8"/>
      <c r="S26" s="421"/>
      <c r="T26" s="424"/>
    </row>
    <row r="27" spans="2:20" ht="15" thickTop="1" x14ac:dyDescent="0.35">
      <c r="C27" s="44" t="s">
        <v>190</v>
      </c>
      <c r="D27" s="44"/>
      <c r="E27" s="44"/>
    </row>
    <row r="31" spans="2:20" ht="24" thickBot="1" x14ac:dyDescent="0.6">
      <c r="C31" s="11" t="s">
        <v>38</v>
      </c>
      <c r="D31" s="11"/>
      <c r="E31" s="11"/>
    </row>
    <row r="32" spans="2:20" ht="15" thickTop="1" x14ac:dyDescent="0.35">
      <c r="C32" s="18"/>
      <c r="D32" s="19" t="str">
        <f t="shared" ref="D32:I32" si="2">D6</f>
        <v>Elaborate explanation</v>
      </c>
      <c r="E32" s="19" t="str">
        <f t="shared" si="2"/>
        <v>Example</v>
      </c>
      <c r="F32" s="19" t="str">
        <f t="shared" si="2"/>
        <v>Problems</v>
      </c>
      <c r="G32" s="19" t="str">
        <f t="shared" si="2"/>
        <v>Methods</v>
      </c>
      <c r="H32" s="19">
        <f t="shared" si="2"/>
        <v>0</v>
      </c>
      <c r="I32" s="20" t="str">
        <f t="shared" si="2"/>
        <v>Main</v>
      </c>
    </row>
    <row r="33" spans="2:13" x14ac:dyDescent="0.35">
      <c r="C33" s="21"/>
      <c r="D33" s="13"/>
      <c r="E33" s="13" t="str">
        <f>E7</f>
        <v>AI models</v>
      </c>
      <c r="F33" s="13"/>
      <c r="G33" s="13" t="str">
        <f>G7</f>
        <v xml:space="preserve">to solve </v>
      </c>
      <c r="H33" s="13">
        <f>H7</f>
        <v>0</v>
      </c>
      <c r="I33" s="22" t="str">
        <f>I7</f>
        <v>source</v>
      </c>
    </row>
    <row r="34" spans="2:13" ht="15" thickBot="1" x14ac:dyDescent="0.4">
      <c r="C34" s="181"/>
      <c r="D34" s="173"/>
      <c r="E34" s="173"/>
      <c r="F34" s="173"/>
      <c r="G34" s="173" t="str">
        <f>G8</f>
        <v>problems</v>
      </c>
      <c r="H34" s="173"/>
      <c r="I34" s="182">
        <f>I8</f>
        <v>0</v>
      </c>
    </row>
    <row r="35" spans="2:13" ht="21.5" thickTop="1" x14ac:dyDescent="0.5">
      <c r="B35">
        <v>1</v>
      </c>
      <c r="C35" s="699" t="str">
        <f>C9</f>
        <v>Regarding scaling laws making AI models more intelligent</v>
      </c>
      <c r="D35" s="210"/>
      <c r="E35" s="210"/>
      <c r="F35" s="210"/>
      <c r="G35" s="210"/>
      <c r="H35" s="210"/>
      <c r="I35" s="211"/>
      <c r="J35">
        <v>1</v>
      </c>
    </row>
    <row r="36" spans="2:13" x14ac:dyDescent="0.35">
      <c r="B36">
        <f t="shared" ref="B36:B52" si="3">B35+1</f>
        <v>2</v>
      </c>
      <c r="C36" s="23" t="str">
        <f>C10</f>
        <v>Scaling law 1 - More parameters and layers in AI models makes the AI model more intelligent</v>
      </c>
      <c r="D36" t="s">
        <v>1291</v>
      </c>
      <c r="H36" s="131"/>
      <c r="I36" s="429"/>
      <c r="J36">
        <f t="shared" ref="J36:J52" si="4">J35+1</f>
        <v>2</v>
      </c>
    </row>
    <row r="37" spans="2:13" x14ac:dyDescent="0.35">
      <c r="B37">
        <f t="shared" si="3"/>
        <v>3</v>
      </c>
      <c r="C37" s="23" t="str">
        <f>C11</f>
        <v>Scaling law 2 - More and higher quality data used for training (aka parameter calculations) makes the AI model more intelligent</v>
      </c>
      <c r="D37" t="s">
        <v>1291</v>
      </c>
      <c r="H37" s="131"/>
      <c r="I37" s="429"/>
      <c r="J37">
        <f t="shared" si="4"/>
        <v>3</v>
      </c>
    </row>
    <row r="38" spans="2:13" ht="14.5" customHeight="1" x14ac:dyDescent="0.35">
      <c r="B38">
        <f t="shared" si="3"/>
        <v>4</v>
      </c>
      <c r="C38" s="23" t="str">
        <f>C12</f>
        <v>Scaling law 3 - More compute for training produces better estimated AI parameters and makes the AI model more intelligent</v>
      </c>
      <c r="D38" t="s">
        <v>1291</v>
      </c>
      <c r="H38" s="131"/>
      <c r="I38" s="429"/>
      <c r="J38">
        <f t="shared" si="4"/>
        <v>4</v>
      </c>
    </row>
    <row r="39" spans="2:13" ht="14.5" customHeight="1" x14ac:dyDescent="0.35">
      <c r="B39">
        <f t="shared" si="3"/>
        <v>5</v>
      </c>
      <c r="C39" s="23" t="str">
        <f t="shared" ref="C39:C40" si="5">C13</f>
        <v>Scaling law 4 - More inference compute with agentic workflows thinking longer on a problem and also Test Time Training makes the AI system more intelligent</v>
      </c>
      <c r="D39" s="492" t="s">
        <v>1505</v>
      </c>
      <c r="F39" t="s">
        <v>1467</v>
      </c>
      <c r="H39" s="131"/>
      <c r="I39" s="429"/>
      <c r="J39">
        <f t="shared" si="4"/>
        <v>5</v>
      </c>
    </row>
    <row r="40" spans="2:13" x14ac:dyDescent="0.35">
      <c r="B40">
        <f t="shared" si="3"/>
        <v>6</v>
      </c>
      <c r="C40" s="23" t="str">
        <f t="shared" si="5"/>
        <v>Scaling law 5 - More sophisticated agentic workflows tying more specialized AI models and tools together in ever more clever ways increase its intelligence</v>
      </c>
      <c r="D40" s="14" t="s">
        <v>1309</v>
      </c>
      <c r="H40" s="131"/>
      <c r="I40" s="429"/>
      <c r="J40">
        <f t="shared" si="4"/>
        <v>6</v>
      </c>
    </row>
    <row r="41" spans="2:13" ht="15" thickBot="1" x14ac:dyDescent="0.4">
      <c r="B41">
        <f t="shared" si="3"/>
        <v>7</v>
      </c>
      <c r="C41" s="23"/>
      <c r="H41" s="131"/>
      <c r="I41" s="429"/>
      <c r="J41">
        <f t="shared" si="4"/>
        <v>7</v>
      </c>
    </row>
    <row r="42" spans="2:13" ht="21.5" thickTop="1" x14ac:dyDescent="0.5">
      <c r="B42">
        <f t="shared" si="3"/>
        <v>8</v>
      </c>
      <c r="C42" s="702" t="str">
        <f t="shared" ref="C42:C46" si="6">C16</f>
        <v>Regarding computing</v>
      </c>
      <c r="D42" s="461"/>
      <c r="E42" s="461"/>
      <c r="F42" s="461"/>
      <c r="G42" s="461"/>
      <c r="H42" s="461"/>
      <c r="I42" s="499"/>
      <c r="J42">
        <f t="shared" si="4"/>
        <v>8</v>
      </c>
    </row>
    <row r="43" spans="2:13" x14ac:dyDescent="0.35">
      <c r="B43">
        <f t="shared" si="3"/>
        <v>9</v>
      </c>
      <c r="C43" s="23" t="str">
        <f t="shared" si="6"/>
        <v>Distributed training clusters</v>
      </c>
      <c r="D43" s="14" t="s">
        <v>1292</v>
      </c>
      <c r="G43" s="14"/>
      <c r="H43" s="131"/>
      <c r="I43" s="429"/>
      <c r="J43">
        <f t="shared" si="4"/>
        <v>9</v>
      </c>
      <c r="M43" t="s">
        <v>1584</v>
      </c>
    </row>
    <row r="44" spans="2:13" x14ac:dyDescent="0.35">
      <c r="B44">
        <f t="shared" si="3"/>
        <v>10</v>
      </c>
      <c r="C44" s="23"/>
      <c r="G44" s="14"/>
      <c r="H44" s="131"/>
      <c r="I44" s="429"/>
      <c r="J44">
        <f t="shared" si="4"/>
        <v>10</v>
      </c>
      <c r="L44" s="14"/>
    </row>
    <row r="45" spans="2:13" ht="15" thickBot="1" x14ac:dyDescent="0.4">
      <c r="B45">
        <f t="shared" si="3"/>
        <v>11</v>
      </c>
      <c r="C45" s="23"/>
      <c r="F45" s="14"/>
      <c r="G45" s="131"/>
      <c r="H45" s="131"/>
      <c r="I45" s="429"/>
      <c r="J45">
        <f t="shared" si="4"/>
        <v>11</v>
      </c>
    </row>
    <row r="46" spans="2:13" ht="21.5" thickTop="1" x14ac:dyDescent="0.5">
      <c r="B46">
        <f t="shared" si="3"/>
        <v>12</v>
      </c>
      <c r="C46" s="702" t="str">
        <f t="shared" si="6"/>
        <v>Forthcoming megatrends as expected by HM</v>
      </c>
      <c r="D46" s="461"/>
      <c r="E46" s="461"/>
      <c r="F46" s="461"/>
      <c r="G46" s="461"/>
      <c r="H46" s="461"/>
      <c r="I46" s="499"/>
      <c r="J46">
        <f t="shared" si="4"/>
        <v>12</v>
      </c>
    </row>
    <row r="47" spans="2:13" x14ac:dyDescent="0.35">
      <c r="B47">
        <f t="shared" si="3"/>
        <v>13</v>
      </c>
      <c r="C47" s="23" t="str">
        <f>C21</f>
        <v>Many more smaller and highly specialized models</v>
      </c>
      <c r="H47" s="131"/>
      <c r="I47" s="429"/>
      <c r="J47">
        <f t="shared" si="4"/>
        <v>13</v>
      </c>
    </row>
    <row r="48" spans="2:13" x14ac:dyDescent="0.35">
      <c r="B48">
        <f t="shared" si="3"/>
        <v>14</v>
      </c>
      <c r="C48" s="23" t="str">
        <f>C22</f>
        <v>Always on training and inference AI chips for androids</v>
      </c>
      <c r="H48" s="131"/>
      <c r="I48" s="429"/>
      <c r="J48">
        <f t="shared" si="4"/>
        <v>14</v>
      </c>
    </row>
    <row r="49" spans="2:10" x14ac:dyDescent="0.35">
      <c r="B49">
        <f t="shared" si="3"/>
        <v>15</v>
      </c>
      <c r="C49" s="23"/>
      <c r="H49" s="131"/>
      <c r="I49" s="429"/>
      <c r="J49">
        <f t="shared" si="4"/>
        <v>15</v>
      </c>
    </row>
    <row r="50" spans="2:10" x14ac:dyDescent="0.35">
      <c r="B50">
        <f t="shared" si="3"/>
        <v>16</v>
      </c>
      <c r="C50" s="23"/>
      <c r="H50" s="131"/>
      <c r="I50" s="429"/>
      <c r="J50">
        <f t="shared" si="4"/>
        <v>16</v>
      </c>
    </row>
    <row r="51" spans="2:10" x14ac:dyDescent="0.35">
      <c r="B51">
        <f t="shared" si="3"/>
        <v>17</v>
      </c>
      <c r="C51" s="23"/>
      <c r="H51" s="131"/>
      <c r="I51" s="429"/>
      <c r="J51">
        <f t="shared" si="4"/>
        <v>17</v>
      </c>
    </row>
    <row r="52" spans="2:10" ht="15" thickBot="1" x14ac:dyDescent="0.4">
      <c r="B52">
        <f t="shared" si="3"/>
        <v>18</v>
      </c>
      <c r="C52" s="27"/>
      <c r="D52" s="85"/>
      <c r="E52" s="85"/>
      <c r="F52" s="85"/>
      <c r="G52" s="417"/>
      <c r="H52" s="417"/>
      <c r="I52" s="420"/>
      <c r="J52">
        <f t="shared" si="4"/>
        <v>18</v>
      </c>
    </row>
    <row r="53" spans="2:10" ht="15" thickTop="1" x14ac:dyDescent="0.35"/>
  </sheetData>
  <hyperlinks>
    <hyperlink ref="D40" r:id="rId1" xr:uid="{497A0FAE-0911-452F-8493-3343E9E8F53C}"/>
    <hyperlink ref="M13" r:id="rId2" xr:uid="{2DB0FC16-7C9C-4558-807C-1449F6C50029}"/>
    <hyperlink ref="N13" r:id="rId3" xr:uid="{FFEA1C78-0EBA-49F7-892C-48E7EEC98529}"/>
    <hyperlink ref="O13" r:id="rId4" xr:uid="{77DE77F0-18C6-49CF-92E9-F744F0854B18}"/>
    <hyperlink ref="D43" r:id="rId5" xr:uid="{67FF3FF7-32C0-4272-8D9F-F0A33BBCF18A}"/>
    <hyperlink ref="L13" r:id="rId6" xr:uid="{920E8753-9E10-4E68-954A-7464E0EE0DC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AI_Models</vt:lpstr>
      <vt:lpstr>KeyChips</vt:lpstr>
      <vt:lpstr>AI_Supercomputers</vt:lpstr>
      <vt:lpstr>FutureAISupercomputers</vt:lpstr>
      <vt:lpstr>GlobalChipProd_TFLOPS_GB_RAM</vt:lpstr>
      <vt:lpstr>GlobalChipProd_ElecUse</vt:lpstr>
      <vt:lpstr>Calc_Moores_Law</vt:lpstr>
      <vt:lpstr>Calc_nm_Law</vt:lpstr>
      <vt:lpstr>AI_MegaTrends</vt:lpstr>
      <vt:lpstr>LevelsOfAI</vt:lpstr>
      <vt:lpstr>1_LifeEvolution</vt:lpstr>
      <vt:lpstr>2_AI_Opinions</vt:lpstr>
      <vt:lpstr>3_LifeComparison</vt:lpstr>
      <vt:lpstr>4_ImpactOnSociety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2025-04-11T10:41:33Z</dcterms:modified>
</cp:coreProperties>
</file>